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codeName="ThisWorkbook" defaultThemeVersion="202300"/>
  <mc:AlternateContent xmlns:mc="http://schemas.openxmlformats.org/markup-compatibility/2006">
    <mc:Choice Requires="x15">
      <x15ac:absPath xmlns:x15ac="http://schemas.microsoft.com/office/spreadsheetml/2010/11/ac" url="/Users/mattkinnard/Downloads/"/>
    </mc:Choice>
  </mc:AlternateContent>
  <xr:revisionPtr revIDLastSave="0" documentId="8_{F1D7820C-5706-7B43-BE47-66C47E0DA65A}" xr6:coauthVersionLast="47" xr6:coauthVersionMax="47" xr10:uidLastSave="{00000000-0000-0000-0000-000000000000}"/>
  <bookViews>
    <workbookView xWindow="0" yWindow="780" windowWidth="19420" windowHeight="11500" xr2:uid="{BA37CDE6-CB37-4852-B037-364B0D70791D}"/>
  </bookViews>
  <sheets>
    <sheet name="Estimates" sheetId="1" r:id="rId1"/>
    <sheet name="SUMMARY-UNITS(2026)" sheetId="2" r:id="rId2"/>
    <sheet name="TblPricing" sheetId="5" state="veryHidden" r:id="rId3"/>
    <sheet name="TblRebate" sheetId="3" state="veryHidden" r:id="rId4"/>
  </sheets>
  <definedNames>
    <definedName name="_xlnm._FilterDatabase" localSheetId="1" hidden="1">'SUMMARY-UNITS(2026)'!$A$13:$B$93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P9" i="1" l="1"/>
  <c r="G92" i="2"/>
  <c r="I92" i="2" s="1"/>
  <c r="D96" i="1" a="1"/>
  <c r="E96" i="1"/>
  <c r="D92" i="2" s="1"/>
  <c r="F96" i="1"/>
  <c r="E92" i="2" s="1"/>
  <c r="G96" i="1"/>
  <c r="F92" i="2" s="1"/>
  <c r="J96" i="1"/>
  <c r="M96" i="1" s="1"/>
  <c r="L96" i="1"/>
  <c r="J92" i="2" s="1"/>
  <c r="N96" i="1"/>
  <c r="Q96" i="1"/>
  <c r="L92" i="2" s="1"/>
  <c r="B96" i="1"/>
  <c r="B79" i="3"/>
  <c r="C79" i="3"/>
  <c r="D79" i="3"/>
  <c r="E79" i="3" a="1"/>
  <c r="N79" i="3"/>
  <c r="P79" i="3"/>
  <c r="AE115" i="5"/>
  <c r="J79" i="3" s="1" a="1"/>
  <c r="N115" i="5"/>
  <c r="Q115" i="5"/>
  <c r="K79" i="3" l="1" a="1"/>
  <c r="M79" i="3" a="1"/>
  <c r="L79" i="3" a="1"/>
  <c r="B92" i="2"/>
  <c r="P11" i="1"/>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B65" i="2" s="1"/>
  <c r="G66" i="2"/>
  <c r="AE97" i="5"/>
  <c r="J69" i="3" s="1" a="1"/>
  <c r="I66" i="1"/>
  <c r="J66" i="1" s="1"/>
  <c r="K66" i="1"/>
  <c r="L66" i="1" s="1"/>
  <c r="J65" i="2" s="1"/>
  <c r="N66" i="1"/>
  <c r="O66" i="1" s="1"/>
  <c r="Q66" i="1"/>
  <c r="S66" i="1"/>
  <c r="K65" i="2" s="1"/>
  <c r="W66" i="1"/>
  <c r="X66" i="1" s="1"/>
  <c r="D66" i="1" a="1"/>
  <c r="E66" i="1"/>
  <c r="D65" i="2" s="1"/>
  <c r="F66" i="1"/>
  <c r="E65" i="2" s="1"/>
  <c r="G66" i="1"/>
  <c r="F65" i="2" s="1"/>
  <c r="B66" i="1"/>
  <c r="B69" i="3"/>
  <c r="C69" i="3"/>
  <c r="D69" i="3"/>
  <c r="E69" i="3" a="1"/>
  <c r="M69" i="3" a="1"/>
  <c r="N69" i="3"/>
  <c r="P69" i="3"/>
  <c r="N97" i="5"/>
  <c r="Q97" i="5"/>
  <c r="W96" i="1" l="1"/>
  <c r="X96" i="1" s="1"/>
  <c r="L65" i="2"/>
  <c r="I65" i="2"/>
  <c r="H65" i="2"/>
  <c r="L69" i="3" a="1"/>
  <c r="K69" i="3" a="1"/>
  <c r="B57" i="2" l="1"/>
  <c r="B58" i="2"/>
  <c r="B59" i="2"/>
  <c r="B60" i="2"/>
  <c r="B62" i="2"/>
  <c r="B63" i="2"/>
  <c r="B64" i="2"/>
  <c r="B66" i="2"/>
  <c r="D74" i="1" a="1"/>
  <c r="D75" i="1" a="1"/>
  <c r="D76" i="1" a="1"/>
  <c r="D77" i="1" a="1"/>
  <c r="D78" i="1" a="1"/>
  <c r="D79" i="1" a="1"/>
  <c r="D80" i="1" a="1"/>
  <c r="D81" i="1" a="1"/>
  <c r="D82" i="1" a="1"/>
  <c r="D83" i="1" a="1"/>
  <c r="D84" i="1" a="1"/>
  <c r="D85" i="1" a="1"/>
  <c r="D86" i="1" a="1"/>
  <c r="D87" i="1" a="1"/>
  <c r="D88" i="1" a="1"/>
  <c r="D89" i="1" a="1"/>
  <c r="D90" i="1" a="1"/>
  <c r="D91" i="1" a="1"/>
  <c r="D92" i="1" a="1"/>
  <c r="D93" i="1" a="1"/>
  <c r="D94" i="1" a="1"/>
  <c r="D95" i="1" a="1"/>
  <c r="D97" i="1" a="1"/>
  <c r="D73" i="1" a="1"/>
  <c r="D16" i="1" a="1"/>
  <c r="D17" i="1" a="1"/>
  <c r="D18" i="1" a="1"/>
  <c r="D19" i="1" a="1"/>
  <c r="D20" i="1" a="1"/>
  <c r="D21" i="1" a="1"/>
  <c r="D22" i="1" a="1"/>
  <c r="D23" i="1" a="1"/>
  <c r="D24" i="1" a="1"/>
  <c r="D25" i="1" a="1"/>
  <c r="D26" i="1" a="1"/>
  <c r="D27" i="1" a="1"/>
  <c r="D28" i="1" a="1"/>
  <c r="D29" i="1" a="1"/>
  <c r="D30" i="1" a="1"/>
  <c r="D31" i="1" a="1"/>
  <c r="D32" i="1" a="1"/>
  <c r="D33" i="1" a="1"/>
  <c r="D34" i="1" a="1"/>
  <c r="D35" i="1" a="1"/>
  <c r="D36" i="1" a="1"/>
  <c r="D37" i="1" a="1"/>
  <c r="D38" i="1" a="1"/>
  <c r="D39" i="1" a="1"/>
  <c r="D40" i="1" a="1"/>
  <c r="D41" i="1" a="1"/>
  <c r="D42" i="1" a="1"/>
  <c r="D43" i="1" a="1"/>
  <c r="D44" i="1" a="1"/>
  <c r="D45" i="1" a="1"/>
  <c r="D46" i="1" a="1"/>
  <c r="D47" i="1" a="1"/>
  <c r="D48" i="1" a="1"/>
  <c r="D49" i="1" a="1"/>
  <c r="D50" i="1" a="1"/>
  <c r="D51" i="1" a="1"/>
  <c r="D52" i="1" a="1"/>
  <c r="D53" i="1" a="1"/>
  <c r="D54" i="1" a="1"/>
  <c r="D55" i="1" a="1"/>
  <c r="D56" i="1" a="1"/>
  <c r="D57" i="1" a="1"/>
  <c r="D58" i="1" a="1"/>
  <c r="D59" i="1" a="1"/>
  <c r="D60" i="1" a="1"/>
  <c r="D61" i="1" a="1"/>
  <c r="D62" i="1" a="1"/>
  <c r="D63" i="1" a="1"/>
  <c r="D64" i="1" a="1"/>
  <c r="D65" i="1" a="1"/>
  <c r="D67" i="1" a="1"/>
  <c r="D15" i="1" a="1"/>
  <c r="E58" i="1"/>
  <c r="D57" i="2" s="1"/>
  <c r="F58" i="1"/>
  <c r="E57" i="2" s="1"/>
  <c r="G58" i="1"/>
  <c r="F57" i="2" s="1"/>
  <c r="I58" i="1"/>
  <c r="H57" i="2" s="1"/>
  <c r="K58" i="1"/>
  <c r="I57" i="2" s="1"/>
  <c r="N58" i="1"/>
  <c r="O58" i="1" s="1"/>
  <c r="Q58" i="1"/>
  <c r="S58" i="1"/>
  <c r="K57" i="2" s="1"/>
  <c r="L57" i="2" s="1"/>
  <c r="W58" i="1"/>
  <c r="X58" i="1" s="1"/>
  <c r="E59" i="1"/>
  <c r="D58" i="2" s="1"/>
  <c r="F59" i="1"/>
  <c r="E58" i="2" s="1"/>
  <c r="G59" i="1"/>
  <c r="F58" i="2" s="1"/>
  <c r="I59" i="1"/>
  <c r="H58" i="2" s="1"/>
  <c r="K59" i="1"/>
  <c r="I58" i="2" s="1"/>
  <c r="N59" i="1"/>
  <c r="O59" i="1" s="1"/>
  <c r="Q59" i="1"/>
  <c r="S59" i="1"/>
  <c r="K58" i="2" s="1"/>
  <c r="L58" i="2" s="1"/>
  <c r="W59" i="1"/>
  <c r="X59" i="1" s="1"/>
  <c r="E60" i="1"/>
  <c r="D59" i="2" s="1"/>
  <c r="F60" i="1"/>
  <c r="E59" i="2" s="1"/>
  <c r="G60" i="1"/>
  <c r="F59" i="2" s="1"/>
  <c r="I60" i="1"/>
  <c r="K60" i="1"/>
  <c r="I59" i="2" s="1"/>
  <c r="N60" i="1"/>
  <c r="O60" i="1" s="1"/>
  <c r="Q60" i="1"/>
  <c r="S60" i="1"/>
  <c r="K59" i="2" s="1"/>
  <c r="L59" i="2" s="1"/>
  <c r="W60" i="1"/>
  <c r="X60" i="1" s="1"/>
  <c r="E61" i="1"/>
  <c r="D60" i="2" s="1"/>
  <c r="F61" i="1"/>
  <c r="E60" i="2" s="1"/>
  <c r="G61" i="1"/>
  <c r="F60" i="2" s="1"/>
  <c r="I61" i="1"/>
  <c r="H60" i="2" s="1"/>
  <c r="K61" i="1"/>
  <c r="I60" i="2" s="1"/>
  <c r="N61" i="1"/>
  <c r="O61" i="1" s="1"/>
  <c r="Q61" i="1"/>
  <c r="S61" i="1"/>
  <c r="K60" i="2" s="1"/>
  <c r="L60" i="2" s="1"/>
  <c r="W61" i="1"/>
  <c r="X61" i="1" s="1"/>
  <c r="E62" i="1"/>
  <c r="D61" i="2" s="1"/>
  <c r="F62" i="1"/>
  <c r="E61" i="2" s="1"/>
  <c r="G62" i="1"/>
  <c r="F61" i="2" s="1"/>
  <c r="I62" i="1"/>
  <c r="H61" i="2" s="1"/>
  <c r="K62" i="1"/>
  <c r="I61" i="2" s="1"/>
  <c r="E63" i="1"/>
  <c r="D62" i="2" s="1"/>
  <c r="F63" i="1"/>
  <c r="E62" i="2" s="1"/>
  <c r="G63" i="1"/>
  <c r="F62" i="2" s="1"/>
  <c r="I63" i="1"/>
  <c r="K63" i="1"/>
  <c r="I62" i="2" s="1"/>
  <c r="E64" i="1"/>
  <c r="D63" i="2" s="1"/>
  <c r="F64" i="1"/>
  <c r="E63" i="2" s="1"/>
  <c r="G64" i="1"/>
  <c r="F63" i="2" s="1"/>
  <c r="I64" i="1"/>
  <c r="K64" i="1"/>
  <c r="I63" i="2" s="1"/>
  <c r="B58" i="1"/>
  <c r="B59" i="1"/>
  <c r="B60" i="1"/>
  <c r="B61" i="1"/>
  <c r="B62" i="1"/>
  <c r="B63" i="1"/>
  <c r="B64" i="1"/>
  <c r="B72" i="3"/>
  <c r="B73" i="3"/>
  <c r="B75" i="3"/>
  <c r="B74" i="3"/>
  <c r="B76" i="3"/>
  <c r="B77" i="3"/>
  <c r="B78" i="3"/>
  <c r="C72" i="3"/>
  <c r="C73" i="3"/>
  <c r="C75" i="3"/>
  <c r="C74" i="3"/>
  <c r="C76" i="3"/>
  <c r="C77" i="3"/>
  <c r="C78" i="3"/>
  <c r="D72" i="3"/>
  <c r="D73" i="3"/>
  <c r="D75" i="3"/>
  <c r="D74" i="3"/>
  <c r="D76" i="3"/>
  <c r="D77" i="3"/>
  <c r="D78" i="3"/>
  <c r="E72" i="3" a="1"/>
  <c r="E73" i="3" a="1"/>
  <c r="E75" i="3" a="1"/>
  <c r="E74" i="3" a="1"/>
  <c r="E76" i="3" a="1"/>
  <c r="E77" i="3" a="1"/>
  <c r="M66" i="1" s="1"/>
  <c r="E78" i="3" a="1"/>
  <c r="N72" i="3"/>
  <c r="N73" i="3"/>
  <c r="N75" i="3"/>
  <c r="N74" i="3"/>
  <c r="N76" i="3"/>
  <c r="N77" i="3"/>
  <c r="N78" i="3"/>
  <c r="P72" i="3"/>
  <c r="P73" i="3"/>
  <c r="P75" i="3"/>
  <c r="P74" i="3"/>
  <c r="P76" i="3"/>
  <c r="P77" i="3"/>
  <c r="P78" i="3"/>
  <c r="AE5" i="5"/>
  <c r="AE6" i="5" s="1"/>
  <c r="AE7" i="5" s="1"/>
  <c r="AE59" i="5"/>
  <c r="AE60" i="5"/>
  <c r="AE61" i="5"/>
  <c r="AE62" i="5" s="1"/>
  <c r="N59" i="5"/>
  <c r="N60" i="5"/>
  <c r="N61" i="5"/>
  <c r="N62" i="5"/>
  <c r="Q59" i="5"/>
  <c r="Q60" i="5"/>
  <c r="Q61" i="5"/>
  <c r="Q62" i="5"/>
  <c r="N5" i="5"/>
  <c r="N6" i="5"/>
  <c r="N7" i="5"/>
  <c r="Q5" i="5"/>
  <c r="Q6" i="5"/>
  <c r="Q7" i="5"/>
  <c r="B56" i="2"/>
  <c r="Q19" i="1"/>
  <c r="Q27" i="1"/>
  <c r="Q29" i="1"/>
  <c r="Q31" i="1"/>
  <c r="Q32" i="1"/>
  <c r="Q33" i="1"/>
  <c r="Q34" i="1"/>
  <c r="Q35" i="1"/>
  <c r="Q36" i="1"/>
  <c r="Q37" i="1"/>
  <c r="Q39" i="1"/>
  <c r="Q44" i="1"/>
  <c r="Q47" i="1"/>
  <c r="Q55" i="1"/>
  <c r="Q57" i="1"/>
  <c r="Q65" i="1"/>
  <c r="Q67" i="1"/>
  <c r="B65" i="1"/>
  <c r="E65" i="1"/>
  <c r="D64" i="2" s="1"/>
  <c r="F65" i="1"/>
  <c r="E64" i="2" s="1"/>
  <c r="G65" i="1"/>
  <c r="F64" i="2" s="1"/>
  <c r="I65" i="1"/>
  <c r="K65" i="1"/>
  <c r="N65" i="1"/>
  <c r="O65" i="1" s="1"/>
  <c r="S65" i="1"/>
  <c r="K64" i="2" s="1"/>
  <c r="L64" i="2" s="1"/>
  <c r="W65" i="1"/>
  <c r="X65" i="1" s="1"/>
  <c r="AE4" i="5"/>
  <c r="AE8" i="5"/>
  <c r="AE9" i="5" s="1"/>
  <c r="AE10" i="5"/>
  <c r="AE11" i="5"/>
  <c r="AE12" i="5"/>
  <c r="AE13" i="5"/>
  <c r="AE14" i="5" s="1"/>
  <c r="AE15" i="5"/>
  <c r="AE16" i="5" s="1"/>
  <c r="AE17" i="5"/>
  <c r="AE18" i="5"/>
  <c r="AE19" i="5"/>
  <c r="AE20" i="5" s="1"/>
  <c r="AE21" i="5"/>
  <c r="AE22" i="5" s="1"/>
  <c r="AE23" i="5"/>
  <c r="AE24" i="5"/>
  <c r="AE25" i="5"/>
  <c r="AE26" i="5" s="1"/>
  <c r="AE27" i="5"/>
  <c r="AE28" i="5"/>
  <c r="AE29" i="5"/>
  <c r="AE30" i="5"/>
  <c r="AE31" i="5" s="1"/>
  <c r="AE32" i="5"/>
  <c r="AE33" i="5" s="1"/>
  <c r="AE34" i="5"/>
  <c r="AE35" i="5" s="1"/>
  <c r="AE36" i="5" s="1"/>
  <c r="AE37" i="5"/>
  <c r="AE38" i="5"/>
  <c r="AE39" i="5"/>
  <c r="AE40" i="5" s="1"/>
  <c r="AE41" i="5"/>
  <c r="AE42" i="5" s="1"/>
  <c r="AE43" i="5"/>
  <c r="AE44" i="5"/>
  <c r="AE45" i="5" s="1"/>
  <c r="AE46" i="5"/>
  <c r="AE47" i="5" s="1"/>
  <c r="AE48" i="5"/>
  <c r="AE49" i="5" s="1"/>
  <c r="AE50" i="5"/>
  <c r="AE51" i="5" s="1"/>
  <c r="AE52" i="5"/>
  <c r="AE53" i="5" s="1"/>
  <c r="AE54" i="5" s="1"/>
  <c r="AE55" i="5"/>
  <c r="AE56" i="5" s="1"/>
  <c r="AE57" i="5"/>
  <c r="AE58" i="5" s="1"/>
  <c r="AE64" i="5"/>
  <c r="AE63" i="5"/>
  <c r="AE65" i="5"/>
  <c r="AE66" i="5" s="1"/>
  <c r="AE67" i="5"/>
  <c r="AE68" i="5"/>
  <c r="AE69" i="5"/>
  <c r="AE70" i="5"/>
  <c r="AE71" i="5" s="1"/>
  <c r="AE72" i="5"/>
  <c r="AE73" i="5" s="1"/>
  <c r="AE74" i="5" s="1"/>
  <c r="AE75" i="5"/>
  <c r="AE76" i="5"/>
  <c r="AE77" i="5" s="1"/>
  <c r="AE78" i="5"/>
  <c r="AE79" i="5"/>
  <c r="AE80" i="5" s="1"/>
  <c r="AE81" i="5"/>
  <c r="AE82" i="5"/>
  <c r="AE83" i="5" s="1"/>
  <c r="AE84" i="5"/>
  <c r="AE85" i="5" s="1"/>
  <c r="AE86" i="5"/>
  <c r="AE87" i="5" s="1"/>
  <c r="AE88" i="5"/>
  <c r="AE89" i="5"/>
  <c r="AE90" i="5" s="1"/>
  <c r="AE91" i="5"/>
  <c r="AE92" i="5"/>
  <c r="AE93" i="5"/>
  <c r="AE94" i="5"/>
  <c r="AE95" i="5" s="1"/>
  <c r="AE96" i="5" s="1"/>
  <c r="AE98" i="5"/>
  <c r="AE100" i="5"/>
  <c r="AE101" i="5" s="1"/>
  <c r="AE102" i="5"/>
  <c r="AE103" i="5" s="1"/>
  <c r="AE104" i="5"/>
  <c r="AE105" i="5" s="1"/>
  <c r="AE106" i="5"/>
  <c r="AE107" i="5" s="1"/>
  <c r="AE108" i="5"/>
  <c r="K74" i="3" s="1" a="1"/>
  <c r="AE109" i="5"/>
  <c r="AE110" i="5" s="1"/>
  <c r="AE111" i="5"/>
  <c r="AE112" i="5" s="1"/>
  <c r="AE113" i="5"/>
  <c r="AE114" i="5" s="1"/>
  <c r="N3" i="5"/>
  <c r="N4" i="5"/>
  <c r="N8" i="5"/>
  <c r="N9" i="5"/>
  <c r="N10" i="5"/>
  <c r="N11" i="5"/>
  <c r="N12" i="5"/>
  <c r="N13" i="5"/>
  <c r="N14" i="5"/>
  <c r="N15" i="5"/>
  <c r="N16" i="5"/>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N51" i="5"/>
  <c r="N52" i="5"/>
  <c r="N53" i="5"/>
  <c r="N54" i="5"/>
  <c r="N55" i="5"/>
  <c r="N56" i="5"/>
  <c r="N57" i="5"/>
  <c r="N58" i="5"/>
  <c r="N64" i="5"/>
  <c r="N63" i="5"/>
  <c r="N65" i="5"/>
  <c r="N66" i="5"/>
  <c r="N67" i="5"/>
  <c r="N68" i="5"/>
  <c r="N69" i="5"/>
  <c r="N70" i="5"/>
  <c r="N71" i="5"/>
  <c r="N72" i="5"/>
  <c r="N73" i="5"/>
  <c r="N74" i="5"/>
  <c r="N75" i="5"/>
  <c r="N76" i="5"/>
  <c r="N77" i="5"/>
  <c r="N78" i="5"/>
  <c r="N79" i="5"/>
  <c r="N80" i="5"/>
  <c r="N81" i="5"/>
  <c r="N82" i="5"/>
  <c r="N83" i="5"/>
  <c r="N84" i="5"/>
  <c r="N85" i="5"/>
  <c r="N86" i="5"/>
  <c r="N87" i="5"/>
  <c r="N88" i="5"/>
  <c r="N89" i="5"/>
  <c r="N90" i="5"/>
  <c r="N91" i="5"/>
  <c r="N92" i="5"/>
  <c r="N93" i="5"/>
  <c r="N94" i="5"/>
  <c r="N95" i="5"/>
  <c r="N96" i="5"/>
  <c r="N98" i="5"/>
  <c r="N99" i="5"/>
  <c r="N100" i="5"/>
  <c r="N101" i="5"/>
  <c r="N102" i="5"/>
  <c r="N103" i="5"/>
  <c r="N104" i="5"/>
  <c r="N105" i="5"/>
  <c r="N106" i="5"/>
  <c r="N107" i="5"/>
  <c r="N108" i="5"/>
  <c r="N109" i="5"/>
  <c r="N110" i="5"/>
  <c r="N111" i="5"/>
  <c r="N112" i="5"/>
  <c r="N113" i="5"/>
  <c r="N114" i="5"/>
  <c r="N2" i="5"/>
  <c r="G88" i="2"/>
  <c r="B88" i="2" s="1"/>
  <c r="G89" i="2"/>
  <c r="B89" i="2" s="1"/>
  <c r="G90" i="2"/>
  <c r="B90" i="2" s="1"/>
  <c r="G91" i="2"/>
  <c r="I91" i="2" s="1"/>
  <c r="G93" i="2"/>
  <c r="B93" i="2" s="1"/>
  <c r="W93" i="1"/>
  <c r="X93" i="1" s="1"/>
  <c r="W95" i="1"/>
  <c r="X95" i="1" s="1"/>
  <c r="Q93" i="1"/>
  <c r="L89" i="2" s="1"/>
  <c r="Q95" i="1"/>
  <c r="L91" i="2" s="1"/>
  <c r="Q97" i="1"/>
  <c r="L93" i="2" s="1"/>
  <c r="O93" i="1"/>
  <c r="K93" i="1" s="1"/>
  <c r="P93" i="1" s="1"/>
  <c r="K89" i="2" s="1"/>
  <c r="O95" i="1"/>
  <c r="K95" i="1" s="1"/>
  <c r="P95" i="1" s="1"/>
  <c r="K91" i="2" s="1"/>
  <c r="N93" i="1"/>
  <c r="N95" i="1"/>
  <c r="L93" i="1"/>
  <c r="J89" i="2" s="1"/>
  <c r="L94" i="1"/>
  <c r="J90" i="2" s="1"/>
  <c r="L95" i="1"/>
  <c r="J91" i="2" s="1"/>
  <c r="L97" i="1"/>
  <c r="J93" i="2" s="1"/>
  <c r="J93" i="1"/>
  <c r="M93" i="1" s="1"/>
  <c r="J94" i="1"/>
  <c r="M94" i="1" s="1"/>
  <c r="N94" i="1" s="1"/>
  <c r="J95" i="1"/>
  <c r="M95" i="1" s="1"/>
  <c r="J97" i="1"/>
  <c r="M97" i="1" s="1"/>
  <c r="N97" i="1" s="1"/>
  <c r="G93" i="1"/>
  <c r="F89" i="2" s="1"/>
  <c r="G94" i="1"/>
  <c r="F90" i="2" s="1"/>
  <c r="G95" i="1"/>
  <c r="F91" i="2" s="1"/>
  <c r="G97" i="1"/>
  <c r="F93" i="2" s="1"/>
  <c r="F93" i="1"/>
  <c r="E89" i="2" s="1"/>
  <c r="F94" i="1"/>
  <c r="E90" i="2" s="1"/>
  <c r="F95" i="1"/>
  <c r="E91" i="2" s="1"/>
  <c r="F97" i="1"/>
  <c r="E93" i="2" s="1"/>
  <c r="E93" i="1"/>
  <c r="D89" i="2" s="1"/>
  <c r="E94" i="1"/>
  <c r="D90" i="2" s="1"/>
  <c r="E95" i="1"/>
  <c r="D91" i="2" s="1"/>
  <c r="E97" i="1"/>
  <c r="D93" i="2" s="1"/>
  <c r="B93" i="1"/>
  <c r="B94" i="1"/>
  <c r="B95" i="1"/>
  <c r="B97" i="1"/>
  <c r="K55" i="1"/>
  <c r="K56" i="1"/>
  <c r="K57" i="1"/>
  <c r="K67" i="1"/>
  <c r="I55" i="1"/>
  <c r="I56" i="1"/>
  <c r="I57" i="1"/>
  <c r="I67" i="1"/>
  <c r="G55" i="1"/>
  <c r="F54" i="2" s="1"/>
  <c r="G56" i="1"/>
  <c r="F55" i="2" s="1"/>
  <c r="G57" i="1"/>
  <c r="F56" i="2" s="1"/>
  <c r="G67" i="1"/>
  <c r="F66" i="2" s="1"/>
  <c r="F55" i="1"/>
  <c r="E54" i="2" s="1"/>
  <c r="F56" i="1"/>
  <c r="E55" i="2" s="1"/>
  <c r="F57" i="1"/>
  <c r="E56" i="2" s="1"/>
  <c r="F67" i="1"/>
  <c r="E66" i="2" s="1"/>
  <c r="E55" i="1"/>
  <c r="D54" i="2" s="1"/>
  <c r="E56" i="1"/>
  <c r="D55" i="2" s="1"/>
  <c r="E57" i="1"/>
  <c r="D56" i="2" s="1"/>
  <c r="E67" i="1"/>
  <c r="D66" i="2" s="1"/>
  <c r="B55" i="1"/>
  <c r="B56" i="1"/>
  <c r="B57" i="1"/>
  <c r="B67" i="1"/>
  <c r="B65" i="3"/>
  <c r="B66" i="3"/>
  <c r="B67" i="3"/>
  <c r="B68" i="3"/>
  <c r="B70" i="3"/>
  <c r="B71" i="3"/>
  <c r="C65" i="3"/>
  <c r="C66" i="3"/>
  <c r="C67" i="3"/>
  <c r="C68" i="3"/>
  <c r="C70" i="3"/>
  <c r="C71" i="3"/>
  <c r="D65" i="3"/>
  <c r="D66" i="3"/>
  <c r="D67" i="3"/>
  <c r="D68" i="3"/>
  <c r="D70" i="3"/>
  <c r="D71" i="3"/>
  <c r="E65" i="3" a="1"/>
  <c r="E66" i="3" a="1"/>
  <c r="E67" i="3" a="1"/>
  <c r="E68" i="3" a="1"/>
  <c r="M58" i="1" s="1"/>
  <c r="E70" i="3" a="1"/>
  <c r="M59" i="1" s="1"/>
  <c r="E71" i="3" a="1"/>
  <c r="N65" i="3"/>
  <c r="N66" i="3"/>
  <c r="N67" i="3"/>
  <c r="N68" i="3"/>
  <c r="N70" i="3"/>
  <c r="N71" i="3"/>
  <c r="P65" i="3"/>
  <c r="P66" i="3"/>
  <c r="P67" i="3"/>
  <c r="P68" i="3"/>
  <c r="P70" i="3"/>
  <c r="P71" i="3"/>
  <c r="Q113" i="5"/>
  <c r="Q114" i="5"/>
  <c r="Q112" i="5"/>
  <c r="M63" i="1" l="1"/>
  <c r="M60" i="1"/>
  <c r="M64" i="1"/>
  <c r="J67" i="1"/>
  <c r="H66" i="2"/>
  <c r="J57" i="1"/>
  <c r="H56" i="2"/>
  <c r="J55" i="1"/>
  <c r="H54" i="2"/>
  <c r="J64" i="1"/>
  <c r="H63" i="2"/>
  <c r="L57" i="1"/>
  <c r="J56" i="2" s="1"/>
  <c r="I56" i="2"/>
  <c r="M61" i="1"/>
  <c r="L56" i="1"/>
  <c r="J55" i="2" s="1"/>
  <c r="I55" i="2"/>
  <c r="J65" i="1"/>
  <c r="H64" i="2"/>
  <c r="J63" i="1"/>
  <c r="H62" i="2"/>
  <c r="J56" i="1"/>
  <c r="H55" i="2"/>
  <c r="L55" i="1"/>
  <c r="J54" i="2" s="1"/>
  <c r="I54" i="2"/>
  <c r="L65" i="1"/>
  <c r="J64" i="2" s="1"/>
  <c r="I64" i="2"/>
  <c r="J60" i="1"/>
  <c r="H59" i="2"/>
  <c r="L67" i="1"/>
  <c r="J66" i="2" s="1"/>
  <c r="I66" i="2"/>
  <c r="M62" i="1"/>
  <c r="AE99" i="5"/>
  <c r="M75" i="3" a="1"/>
  <c r="J73" i="3" a="1"/>
  <c r="K72" i="3" a="1"/>
  <c r="M72" i="3" a="1"/>
  <c r="J72" i="3" a="1"/>
  <c r="L61" i="1"/>
  <c r="J60" i="2" s="1"/>
  <c r="M76" i="3" a="1"/>
  <c r="L64" i="1"/>
  <c r="J59" i="1"/>
  <c r="K77" i="3" a="1"/>
  <c r="K76" i="3" a="1"/>
  <c r="J77" i="3" a="1"/>
  <c r="L77" i="3" a="1"/>
  <c r="L76" i="3" a="1"/>
  <c r="K78" i="3" a="1"/>
  <c r="L59" i="1"/>
  <c r="J58" i="2" s="1"/>
  <c r="M78" i="3" a="1"/>
  <c r="L62" i="1"/>
  <c r="J61" i="1"/>
  <c r="J62" i="1"/>
  <c r="K75" i="3" a="1"/>
  <c r="L78" i="3" a="1"/>
  <c r="K73" i="3" a="1"/>
  <c r="L58" i="1"/>
  <c r="J57" i="2" s="1"/>
  <c r="J78" i="3" a="1"/>
  <c r="L63" i="1"/>
  <c r="J58" i="1"/>
  <c r="L74" i="3" a="1"/>
  <c r="L75" i="3" a="1"/>
  <c r="J76" i="3" a="1"/>
  <c r="L60" i="1"/>
  <c r="J59" i="2" s="1"/>
  <c r="L73" i="3" a="1"/>
  <c r="J74" i="3" a="1"/>
  <c r="M77" i="3" a="1"/>
  <c r="L72" i="3" a="1"/>
  <c r="J75" i="3" a="1"/>
  <c r="M74" i="3" a="1"/>
  <c r="M73" i="3" a="1"/>
  <c r="B61" i="2"/>
  <c r="M67" i="1"/>
  <c r="M55" i="1"/>
  <c r="M57" i="1"/>
  <c r="M56" i="1"/>
  <c r="M65" i="1"/>
  <c r="I88" i="2"/>
  <c r="B91" i="2"/>
  <c r="I90" i="2"/>
  <c r="I89" i="2"/>
  <c r="I93" i="2"/>
  <c r="J63" i="2" l="1"/>
  <c r="J62" i="2"/>
  <c r="J61" i="2"/>
  <c r="G70" i="2"/>
  <c r="I70" i="2" s="1"/>
  <c r="G71" i="2"/>
  <c r="I71" i="2" s="1"/>
  <c r="G72" i="2"/>
  <c r="I72" i="2" s="1"/>
  <c r="G73" i="2"/>
  <c r="I73" i="2" s="1"/>
  <c r="G74" i="2"/>
  <c r="I74" i="2" s="1"/>
  <c r="G75" i="2"/>
  <c r="I75" i="2" s="1"/>
  <c r="G76" i="2"/>
  <c r="I76" i="2" s="1"/>
  <c r="G77" i="2"/>
  <c r="I77" i="2" s="1"/>
  <c r="G78" i="2"/>
  <c r="I78" i="2" s="1"/>
  <c r="G79" i="2"/>
  <c r="I79" i="2" s="1"/>
  <c r="G80" i="2"/>
  <c r="I80" i="2" s="1"/>
  <c r="G81" i="2"/>
  <c r="I81" i="2" s="1"/>
  <c r="G82" i="2"/>
  <c r="I82" i="2" s="1"/>
  <c r="G83" i="2"/>
  <c r="I83" i="2" s="1"/>
  <c r="G84" i="2"/>
  <c r="I84" i="2" s="1"/>
  <c r="G85" i="2"/>
  <c r="I85" i="2" s="1"/>
  <c r="G86" i="2"/>
  <c r="I86" i="2" s="1"/>
  <c r="G87" i="2"/>
  <c r="I87" i="2" s="1"/>
  <c r="B85" i="2" l="1"/>
  <c r="B87" i="2"/>
  <c r="B86" i="2"/>
  <c r="B84" i="2"/>
  <c r="B21" i="2"/>
  <c r="B22" i="2"/>
  <c r="O79" i="1"/>
  <c r="K79" i="1" s="1"/>
  <c r="P79" i="1" s="1"/>
  <c r="O80" i="1"/>
  <c r="K80" i="1" s="1"/>
  <c r="P80" i="1" s="1"/>
  <c r="O81" i="1"/>
  <c r="K81" i="1" s="1"/>
  <c r="P81" i="1" s="1"/>
  <c r="O82" i="1"/>
  <c r="K82" i="1" s="1"/>
  <c r="P82" i="1" s="1"/>
  <c r="O83" i="1"/>
  <c r="K83" i="1" s="1"/>
  <c r="P83" i="1" s="1"/>
  <c r="K79" i="2" s="1"/>
  <c r="O84" i="1"/>
  <c r="K84" i="1" s="1"/>
  <c r="P84" i="1" s="1"/>
  <c r="K80" i="2" s="1"/>
  <c r="O85" i="1"/>
  <c r="K85" i="1" s="1"/>
  <c r="P85" i="1" s="1"/>
  <c r="K81" i="2" s="1"/>
  <c r="O86" i="1"/>
  <c r="K86" i="1" s="1"/>
  <c r="P86" i="1" s="1"/>
  <c r="K82" i="2" s="1"/>
  <c r="O89" i="1"/>
  <c r="K89" i="1" s="1"/>
  <c r="P89" i="1" s="1"/>
  <c r="K85" i="2" s="1"/>
  <c r="O90" i="1"/>
  <c r="K90" i="1" s="1"/>
  <c r="P90" i="1" s="1"/>
  <c r="K86" i="2" s="1"/>
  <c r="O91" i="1"/>
  <c r="K91" i="1" s="1"/>
  <c r="P91" i="1" s="1"/>
  <c r="K87" i="2" s="1"/>
  <c r="O92" i="1"/>
  <c r="K92" i="1" s="1"/>
  <c r="P92" i="1" s="1"/>
  <c r="K88" i="2" s="1"/>
  <c r="W85" i="1" l="1"/>
  <c r="X85" i="1" s="1"/>
  <c r="W86" i="1"/>
  <c r="X86" i="1" s="1"/>
  <c r="W89" i="1"/>
  <c r="X89" i="1" s="1"/>
  <c r="W90" i="1"/>
  <c r="X90" i="1" s="1"/>
  <c r="W91" i="1"/>
  <c r="X91" i="1" s="1"/>
  <c r="W92" i="1"/>
  <c r="X92" i="1" s="1"/>
  <c r="Q85" i="1"/>
  <c r="L81" i="2" s="1"/>
  <c r="Q86" i="1"/>
  <c r="L82" i="2" s="1"/>
  <c r="Q87" i="1"/>
  <c r="L83" i="2" s="1"/>
  <c r="Q88" i="1"/>
  <c r="L84" i="2" s="1"/>
  <c r="Q89" i="1"/>
  <c r="L85" i="2" s="1"/>
  <c r="Q90" i="1"/>
  <c r="L86" i="2" s="1"/>
  <c r="Q91" i="1"/>
  <c r="L87" i="2" s="1"/>
  <c r="Q92" i="1"/>
  <c r="L88" i="2" s="1"/>
  <c r="N84" i="1"/>
  <c r="N85" i="1"/>
  <c r="N86" i="1"/>
  <c r="N88" i="1"/>
  <c r="N89" i="1"/>
  <c r="N90" i="1"/>
  <c r="N91" i="1"/>
  <c r="N92" i="1"/>
  <c r="L84" i="1"/>
  <c r="J80" i="2" s="1"/>
  <c r="L85" i="1"/>
  <c r="J81" i="2" s="1"/>
  <c r="L86" i="1"/>
  <c r="J82" i="2" s="1"/>
  <c r="L87" i="1"/>
  <c r="J83" i="2" s="1"/>
  <c r="L88" i="1"/>
  <c r="J84" i="2" s="1"/>
  <c r="L89" i="1"/>
  <c r="J85" i="2" s="1"/>
  <c r="L90" i="1"/>
  <c r="J86" i="2" s="1"/>
  <c r="L91" i="1"/>
  <c r="J87" i="2" s="1"/>
  <c r="L92" i="1"/>
  <c r="J88" i="2" s="1"/>
  <c r="J84" i="1"/>
  <c r="M84" i="1" s="1"/>
  <c r="J85" i="1"/>
  <c r="M85" i="1" s="1"/>
  <c r="J86" i="1"/>
  <c r="M86" i="1" s="1"/>
  <c r="J87" i="1"/>
  <c r="M87" i="1" s="1"/>
  <c r="N87" i="1" s="1"/>
  <c r="J88" i="1"/>
  <c r="M88" i="1" s="1"/>
  <c r="J89" i="1"/>
  <c r="M89" i="1" s="1"/>
  <c r="J90" i="1"/>
  <c r="M90" i="1" s="1"/>
  <c r="J91" i="1"/>
  <c r="M91" i="1" s="1"/>
  <c r="J92" i="1"/>
  <c r="M92" i="1" s="1"/>
  <c r="G83" i="1"/>
  <c r="F79" i="2" s="1"/>
  <c r="G84" i="1"/>
  <c r="F80" i="2" s="1"/>
  <c r="G85" i="1"/>
  <c r="F81" i="2" s="1"/>
  <c r="G86" i="1"/>
  <c r="F82" i="2" s="1"/>
  <c r="G87" i="1"/>
  <c r="F83" i="2" s="1"/>
  <c r="G88" i="1"/>
  <c r="F84" i="2" s="1"/>
  <c r="G89" i="1"/>
  <c r="F85" i="2" s="1"/>
  <c r="G90" i="1"/>
  <c r="F86" i="2" s="1"/>
  <c r="G91" i="1"/>
  <c r="F87" i="2" s="1"/>
  <c r="G92" i="1"/>
  <c r="F88" i="2" s="1"/>
  <c r="F82" i="1"/>
  <c r="E78" i="2" s="1"/>
  <c r="F83" i="1"/>
  <c r="E79" i="2" s="1"/>
  <c r="F84" i="1"/>
  <c r="E80" i="2" s="1"/>
  <c r="F85" i="1"/>
  <c r="E81" i="2" s="1"/>
  <c r="F86" i="1"/>
  <c r="E82" i="2" s="1"/>
  <c r="F87" i="1"/>
  <c r="E83" i="2" s="1"/>
  <c r="F88" i="1"/>
  <c r="E84" i="2" s="1"/>
  <c r="F89" i="1"/>
  <c r="E85" i="2" s="1"/>
  <c r="F90" i="1"/>
  <c r="E86" i="2" s="1"/>
  <c r="F91" i="1"/>
  <c r="E87" i="2" s="1"/>
  <c r="F92" i="1"/>
  <c r="E88" i="2" s="1"/>
  <c r="E79" i="1"/>
  <c r="D75" i="2" s="1"/>
  <c r="E80" i="1"/>
  <c r="D76" i="2" s="1"/>
  <c r="E81" i="1"/>
  <c r="D77" i="2" s="1"/>
  <c r="E82" i="1"/>
  <c r="D78" i="2" s="1"/>
  <c r="E83" i="1"/>
  <c r="D79" i="2" s="1"/>
  <c r="E84" i="1"/>
  <c r="D80" i="2" s="1"/>
  <c r="E85" i="1"/>
  <c r="D81" i="2" s="1"/>
  <c r="E86" i="1"/>
  <c r="D82" i="2" s="1"/>
  <c r="E87" i="1"/>
  <c r="D83" i="2" s="1"/>
  <c r="E88" i="1"/>
  <c r="D84" i="2" s="1"/>
  <c r="E89" i="1"/>
  <c r="D85" i="2" s="1"/>
  <c r="E90" i="1"/>
  <c r="D86" i="2" s="1"/>
  <c r="E91" i="1"/>
  <c r="D87" i="2" s="1"/>
  <c r="E92" i="1"/>
  <c r="D88" i="2" s="1"/>
  <c r="B84" i="1"/>
  <c r="B85" i="1"/>
  <c r="B86" i="1"/>
  <c r="B87" i="1"/>
  <c r="B88" i="1"/>
  <c r="B89" i="1"/>
  <c r="B90" i="1"/>
  <c r="B91" i="1"/>
  <c r="B92" i="1"/>
  <c r="K49" i="1"/>
  <c r="I48" i="2" s="1"/>
  <c r="K50" i="1"/>
  <c r="I49" i="2" s="1"/>
  <c r="K51" i="1"/>
  <c r="I50" i="2" s="1"/>
  <c r="K52" i="1"/>
  <c r="I51" i="2" s="1"/>
  <c r="K53" i="1"/>
  <c r="I52" i="2" s="1"/>
  <c r="K54" i="1"/>
  <c r="I53" i="2" s="1"/>
  <c r="I50" i="1"/>
  <c r="H49" i="2" s="1"/>
  <c r="I51" i="1"/>
  <c r="H50" i="2" s="1"/>
  <c r="I52" i="1"/>
  <c r="H51" i="2" s="1"/>
  <c r="I53" i="1"/>
  <c r="H52" i="2" s="1"/>
  <c r="I54" i="1"/>
  <c r="H53" i="2" s="1"/>
  <c r="G48" i="1"/>
  <c r="F47" i="2" s="1"/>
  <c r="G49" i="1"/>
  <c r="F48" i="2" s="1"/>
  <c r="G50" i="1"/>
  <c r="F49" i="2" s="1"/>
  <c r="G51" i="1"/>
  <c r="F50" i="2" s="1"/>
  <c r="G52" i="1"/>
  <c r="F51" i="2" s="1"/>
  <c r="G53" i="1"/>
  <c r="F52" i="2" s="1"/>
  <c r="G54" i="1"/>
  <c r="F53" i="2" s="1"/>
  <c r="F48" i="1"/>
  <c r="E47" i="2" s="1"/>
  <c r="F49" i="1"/>
  <c r="E48" i="2" s="1"/>
  <c r="F50" i="1"/>
  <c r="E49" i="2" s="1"/>
  <c r="F51" i="1"/>
  <c r="E50" i="2" s="1"/>
  <c r="F52" i="1"/>
  <c r="E51" i="2" s="1"/>
  <c r="F53" i="1"/>
  <c r="E52" i="2" s="1"/>
  <c r="F54" i="1"/>
  <c r="E53" i="2" s="1"/>
  <c r="E48" i="1"/>
  <c r="D47" i="2" s="1"/>
  <c r="E49" i="1"/>
  <c r="D48" i="2" s="1"/>
  <c r="E50" i="1"/>
  <c r="D49" i="2" s="1"/>
  <c r="E51" i="1"/>
  <c r="D50" i="2" s="1"/>
  <c r="E52" i="1"/>
  <c r="D51" i="2" s="1"/>
  <c r="E53" i="1"/>
  <c r="D52" i="2" s="1"/>
  <c r="E54" i="1"/>
  <c r="D53" i="2" s="1"/>
  <c r="B51" i="1"/>
  <c r="B52" i="1"/>
  <c r="B53" i="1"/>
  <c r="B54" i="1"/>
  <c r="Q110" i="5"/>
  <c r="Q111" i="5"/>
  <c r="Q108" i="5"/>
  <c r="Q109" i="5"/>
  <c r="Q103" i="5"/>
  <c r="Q104" i="5"/>
  <c r="Q105" i="5"/>
  <c r="Q106" i="5"/>
  <c r="Q107" i="5"/>
  <c r="AE3" i="5"/>
  <c r="T15" i="1" l="1" a="1"/>
  <c r="U15" i="1" s="1"/>
  <c r="I79" i="3" a="1"/>
  <c r="G79" i="3" a="1"/>
  <c r="Q79" i="3" s="1"/>
  <c r="F79" i="3" a="1"/>
  <c r="O79" i="3" s="1"/>
  <c r="O96" i="1" s="1"/>
  <c r="K96" i="1" s="1"/>
  <c r="P96" i="1" s="1"/>
  <c r="K92" i="2" s="1"/>
  <c r="T96" i="1" a="1"/>
  <c r="U96" i="1" s="1"/>
  <c r="V96" i="1" s="1"/>
  <c r="H79" i="3" a="1"/>
  <c r="T66" i="1" a="1"/>
  <c r="U66" i="1" s="1"/>
  <c r="V66" i="1" s="1"/>
  <c r="I69" i="3" a="1"/>
  <c r="G69" i="3" a="1"/>
  <c r="Q69" i="3" s="1"/>
  <c r="F69" i="3" a="1"/>
  <c r="O69" i="3" s="1"/>
  <c r="H69" i="3" a="1"/>
  <c r="F73" i="3" a="1"/>
  <c r="G75" i="3" a="1"/>
  <c r="G76" i="3" a="1"/>
  <c r="H76" i="3" a="1"/>
  <c r="I77" i="3" a="1"/>
  <c r="H72" i="3" a="1"/>
  <c r="T62" i="1" s="1" a="1"/>
  <c r="U62" i="1" s="1"/>
  <c r="F75" i="3" a="1"/>
  <c r="I78" i="3" a="1"/>
  <c r="I76" i="3" a="1"/>
  <c r="F78" i="3" a="1"/>
  <c r="T60" i="1" a="1"/>
  <c r="U60" i="1" s="1"/>
  <c r="V60" i="1" s="1"/>
  <c r="I73" i="3" a="1"/>
  <c r="H75" i="3" a="1"/>
  <c r="H77" i="3" a="1"/>
  <c r="G74" i="3" a="1"/>
  <c r="Q74" i="3" s="1"/>
  <c r="F76" i="3" a="1"/>
  <c r="G78" i="3" a="1"/>
  <c r="H78" i="3" a="1"/>
  <c r="G73" i="3" a="1"/>
  <c r="T63" i="1" s="1" a="1"/>
  <c r="U63" i="1" s="1"/>
  <c r="I72" i="3" a="1"/>
  <c r="I74" i="3" a="1"/>
  <c r="T58" i="1" a="1"/>
  <c r="U58" i="1" s="1"/>
  <c r="V58" i="1" s="1"/>
  <c r="G77" i="3" a="1"/>
  <c r="T59" i="1" a="1"/>
  <c r="U59" i="1" s="1"/>
  <c r="V59" i="1" s="1"/>
  <c r="T64" i="1" a="1"/>
  <c r="U64" i="1" s="1"/>
  <c r="V64" i="1" s="1"/>
  <c r="G72" i="3" a="1"/>
  <c r="H73" i="3" a="1"/>
  <c r="F77" i="3" a="1"/>
  <c r="F72" i="3" a="1"/>
  <c r="T61" i="1" a="1"/>
  <c r="U61" i="1" s="1"/>
  <c r="V61" i="1" s="1"/>
  <c r="F74" i="3" a="1"/>
  <c r="O74" i="3" s="1"/>
  <c r="H74" i="3" a="1"/>
  <c r="I75" i="3" a="1"/>
  <c r="T65" i="1" a="1"/>
  <c r="U65" i="1" s="1"/>
  <c r="V65" i="1" s="1"/>
  <c r="Q48" i="1"/>
  <c r="J51" i="1"/>
  <c r="L50" i="1"/>
  <c r="J49" i="2" s="1"/>
  <c r="J50" i="1"/>
  <c r="L49" i="1"/>
  <c r="J48" i="2" s="1"/>
  <c r="L54" i="1"/>
  <c r="J54" i="1"/>
  <c r="L53" i="1"/>
  <c r="J53" i="1"/>
  <c r="L52" i="1"/>
  <c r="J51" i="2" s="1"/>
  <c r="J52" i="1"/>
  <c r="L51" i="1"/>
  <c r="J50" i="2" s="1"/>
  <c r="D2" i="2"/>
  <c r="B47" i="1"/>
  <c r="B48" i="1"/>
  <c r="V62" i="1" l="1"/>
  <c r="J53" i="2"/>
  <c r="J52" i="2"/>
  <c r="V63" i="1"/>
  <c r="O78" i="3"/>
  <c r="Q78" i="3"/>
  <c r="O72" i="3"/>
  <c r="N62" i="1" s="1"/>
  <c r="O62" i="1" s="1"/>
  <c r="Q72" i="3"/>
  <c r="Q77" i="3"/>
  <c r="O77" i="3"/>
  <c r="Q76" i="3"/>
  <c r="O76" i="3"/>
  <c r="O75" i="3"/>
  <c r="N64" i="1" s="1"/>
  <c r="O64" i="1" s="1"/>
  <c r="Q75" i="3"/>
  <c r="Q73" i="3"/>
  <c r="O73" i="3"/>
  <c r="N63" i="1" s="1"/>
  <c r="O63" i="1" s="1"/>
  <c r="L65" i="3" a="1"/>
  <c r="K65" i="3" a="1"/>
  <c r="J65" i="3" a="1"/>
  <c r="M65" i="3" a="1"/>
  <c r="T95" i="1" a="1"/>
  <c r="U95" i="1" s="1"/>
  <c r="V95" i="1" s="1"/>
  <c r="T18" i="1" a="1"/>
  <c r="U18" i="1" s="1"/>
  <c r="T89" i="1" a="1"/>
  <c r="U89" i="1" s="1"/>
  <c r="V89" i="1" s="1"/>
  <c r="T88" i="1" a="1"/>
  <c r="U88" i="1" s="1"/>
  <c r="V88" i="1" s="1"/>
  <c r="T93" i="1" a="1"/>
  <c r="U93" i="1" s="1"/>
  <c r="V93" i="1" s="1"/>
  <c r="T87" i="1" a="1"/>
  <c r="U87" i="1" s="1"/>
  <c r="V87" i="1" s="1"/>
  <c r="T46" i="1" a="1"/>
  <c r="U46" i="1" s="1"/>
  <c r="T43" i="1" a="1"/>
  <c r="U43" i="1" s="1"/>
  <c r="T86" i="1" a="1"/>
  <c r="U86" i="1" s="1"/>
  <c r="V86" i="1" s="1"/>
  <c r="T30" i="1" a="1"/>
  <c r="U30" i="1" s="1"/>
  <c r="T79" i="1" a="1"/>
  <c r="U79" i="1" s="1"/>
  <c r="T24" i="1" a="1"/>
  <c r="U24" i="1" s="1"/>
  <c r="T19" i="1" a="1"/>
  <c r="U19" i="1" s="1"/>
  <c r="T82" i="1" a="1"/>
  <c r="U82" i="1" s="1"/>
  <c r="T16" i="1" a="1"/>
  <c r="U16" i="1" s="1"/>
  <c r="T52" i="1" a="1"/>
  <c r="U52" i="1" s="1"/>
  <c r="V52" i="1" s="1"/>
  <c r="T94" i="1" a="1"/>
  <c r="U94" i="1" s="1"/>
  <c r="V94" i="1" s="1"/>
  <c r="T77" i="1" a="1"/>
  <c r="U77" i="1" s="1"/>
  <c r="T92" i="1" a="1"/>
  <c r="U92" i="1" s="1"/>
  <c r="V92" i="1" s="1"/>
  <c r="T76" i="1" a="1"/>
  <c r="U76" i="1" s="1"/>
  <c r="T47" i="1" a="1"/>
  <c r="U47" i="1" s="1"/>
  <c r="T53" i="1" a="1"/>
  <c r="U53" i="1" s="1"/>
  <c r="V53" i="1" s="1"/>
  <c r="T36" i="1" a="1"/>
  <c r="U36" i="1" s="1"/>
  <c r="T34" i="1" a="1"/>
  <c r="U34" i="1" s="1"/>
  <c r="T42" i="1" a="1"/>
  <c r="U42" i="1" s="1"/>
  <c r="T31" i="1" a="1"/>
  <c r="U31" i="1" s="1"/>
  <c r="T35" i="1" a="1"/>
  <c r="U35" i="1" s="1"/>
  <c r="T20" i="1" a="1"/>
  <c r="U20" i="1" s="1"/>
  <c r="T25" i="1" a="1"/>
  <c r="U25" i="1" s="1"/>
  <c r="T83" i="1" a="1"/>
  <c r="U83" i="1" s="1"/>
  <c r="T33" i="1" a="1"/>
  <c r="U33" i="1" s="1"/>
  <c r="T78" i="1" a="1"/>
  <c r="U78" i="1" s="1"/>
  <c r="T38" i="1" a="1"/>
  <c r="U38" i="1" s="1"/>
  <c r="T21" i="1" a="1"/>
  <c r="U21" i="1" s="1"/>
  <c r="T91" i="1" a="1"/>
  <c r="U91" i="1" s="1"/>
  <c r="V91" i="1" s="1"/>
  <c r="T90" i="1" a="1"/>
  <c r="U90" i="1" s="1"/>
  <c r="V90" i="1" s="1"/>
  <c r="T54" i="1" a="1"/>
  <c r="U54" i="1" s="1"/>
  <c r="V54" i="1" s="1"/>
  <c r="T73" i="1" a="1"/>
  <c r="U73" i="1" s="1"/>
  <c r="T81" i="1" a="1"/>
  <c r="U81" i="1" s="1"/>
  <c r="T85" i="1" a="1"/>
  <c r="U85" i="1" s="1"/>
  <c r="V85" i="1" s="1"/>
  <c r="T22" i="1" a="1"/>
  <c r="U22" i="1" s="1"/>
  <c r="T75" i="1" a="1"/>
  <c r="U75" i="1" s="1"/>
  <c r="T80" i="1" a="1"/>
  <c r="U80" i="1" s="1"/>
  <c r="T74" i="1" a="1"/>
  <c r="U74" i="1" s="1"/>
  <c r="B35" i="2"/>
  <c r="B36" i="2"/>
  <c r="B37" i="2"/>
  <c r="B38" i="2"/>
  <c r="B39" i="2"/>
  <c r="B40" i="2"/>
  <c r="B41" i="2"/>
  <c r="B42" i="2"/>
  <c r="B43" i="2"/>
  <c r="B44" i="2"/>
  <c r="B45" i="2"/>
  <c r="B46" i="2"/>
  <c r="B47" i="2"/>
  <c r="B48" i="2"/>
  <c r="B49" i="2"/>
  <c r="B50" i="2"/>
  <c r="B51" i="2"/>
  <c r="B52" i="2"/>
  <c r="B53" i="2"/>
  <c r="B54" i="2"/>
  <c r="B55" i="2"/>
  <c r="B74" i="1"/>
  <c r="B75" i="1"/>
  <c r="B76" i="1"/>
  <c r="B77" i="1"/>
  <c r="B78" i="1"/>
  <c r="B79" i="1"/>
  <c r="B80" i="1"/>
  <c r="B81" i="1"/>
  <c r="B82" i="1"/>
  <c r="B83" i="1"/>
  <c r="B73" i="1"/>
  <c r="B32" i="1"/>
  <c r="B33" i="1"/>
  <c r="B34" i="1"/>
  <c r="B35" i="1"/>
  <c r="B36" i="1"/>
  <c r="B37" i="1"/>
  <c r="B38" i="1"/>
  <c r="B39" i="1"/>
  <c r="B40" i="1"/>
  <c r="B41" i="1"/>
  <c r="B42" i="1"/>
  <c r="B43" i="1"/>
  <c r="B44" i="1"/>
  <c r="B45" i="1"/>
  <c r="B46" i="1"/>
  <c r="B49" i="1"/>
  <c r="B50" i="1"/>
  <c r="K35" i="1"/>
  <c r="I34" i="2" s="1"/>
  <c r="K36" i="1"/>
  <c r="I35" i="2" s="1"/>
  <c r="K37" i="1"/>
  <c r="I36" i="2" s="1"/>
  <c r="K38" i="1"/>
  <c r="I37" i="2" s="1"/>
  <c r="K39" i="1"/>
  <c r="I38" i="2" s="1"/>
  <c r="K40" i="1"/>
  <c r="I39" i="2" s="1"/>
  <c r="K41" i="1"/>
  <c r="I40" i="2" s="1"/>
  <c r="K42" i="1"/>
  <c r="I41" i="2" s="1"/>
  <c r="K43" i="1"/>
  <c r="I42" i="2" s="1"/>
  <c r="K44" i="1"/>
  <c r="I43" i="2" s="1"/>
  <c r="K45" i="1"/>
  <c r="I44" i="2" s="1"/>
  <c r="K46" i="1"/>
  <c r="I45" i="2" s="1"/>
  <c r="K47" i="1"/>
  <c r="I46" i="2" s="1"/>
  <c r="K48" i="1"/>
  <c r="I47" i="2" s="1"/>
  <c r="I42" i="1"/>
  <c r="H41" i="2" s="1"/>
  <c r="I43" i="1"/>
  <c r="H42" i="2" s="1"/>
  <c r="I44" i="1"/>
  <c r="H43" i="2" s="1"/>
  <c r="I45" i="1"/>
  <c r="H44" i="2" s="1"/>
  <c r="I46" i="1"/>
  <c r="H45" i="2" s="1"/>
  <c r="I47" i="1"/>
  <c r="H46" i="2" s="1"/>
  <c r="I48" i="1"/>
  <c r="H47" i="2" s="1"/>
  <c r="I49" i="1"/>
  <c r="H48" i="2" s="1"/>
  <c r="G42" i="1"/>
  <c r="F41" i="2" s="1"/>
  <c r="G43" i="1"/>
  <c r="F42" i="2" s="1"/>
  <c r="G44" i="1"/>
  <c r="F43" i="2" s="1"/>
  <c r="G45" i="1"/>
  <c r="F44" i="2" s="1"/>
  <c r="G46" i="1"/>
  <c r="F45" i="2" s="1"/>
  <c r="G47" i="1"/>
  <c r="F46" i="2" s="1"/>
  <c r="F40" i="1"/>
  <c r="E39" i="2" s="1"/>
  <c r="F41" i="1"/>
  <c r="E40" i="2" s="1"/>
  <c r="F42" i="1"/>
  <c r="E41" i="2" s="1"/>
  <c r="F43" i="1"/>
  <c r="E42" i="2" s="1"/>
  <c r="F44" i="1"/>
  <c r="E43" i="2" s="1"/>
  <c r="F45" i="1"/>
  <c r="E44" i="2" s="1"/>
  <c r="F46" i="1"/>
  <c r="E45" i="2" s="1"/>
  <c r="F47" i="1"/>
  <c r="E46" i="2" s="1"/>
  <c r="E42" i="1"/>
  <c r="D41" i="2" s="1"/>
  <c r="E43" i="1"/>
  <c r="D42" i="2" s="1"/>
  <c r="E44" i="1"/>
  <c r="D43" i="2" s="1"/>
  <c r="E45" i="1"/>
  <c r="D44" i="2" s="1"/>
  <c r="E46" i="1"/>
  <c r="D45" i="2" s="1"/>
  <c r="E47" i="1"/>
  <c r="D46" i="2" s="1"/>
  <c r="B53" i="3"/>
  <c r="C53" i="3"/>
  <c r="D53" i="3"/>
  <c r="E53" i="3" a="1"/>
  <c r="N53" i="3"/>
  <c r="P53" i="3"/>
  <c r="B54" i="3"/>
  <c r="C54" i="3"/>
  <c r="D54" i="3"/>
  <c r="E54" i="3" a="1"/>
  <c r="N54" i="3"/>
  <c r="P54" i="3"/>
  <c r="B52" i="3"/>
  <c r="C52" i="3"/>
  <c r="D52" i="3"/>
  <c r="E52" i="3" a="1"/>
  <c r="N52" i="3"/>
  <c r="P52" i="3"/>
  <c r="B47" i="3"/>
  <c r="C47" i="3"/>
  <c r="D47" i="3"/>
  <c r="E47" i="3" a="1"/>
  <c r="N47" i="3"/>
  <c r="P47" i="3"/>
  <c r="J45" i="1" l="1"/>
  <c r="L44" i="1"/>
  <c r="J43" i="2" s="1"/>
  <c r="L36" i="1"/>
  <c r="J35" i="2" s="1"/>
  <c r="J43" i="1"/>
  <c r="L42" i="1"/>
  <c r="L43" i="1"/>
  <c r="J42" i="2" s="1"/>
  <c r="L35" i="1"/>
  <c r="J34" i="2" s="1"/>
  <c r="J42" i="1"/>
  <c r="L41" i="1"/>
  <c r="J44" i="1"/>
  <c r="L48" i="1"/>
  <c r="J47" i="2" s="1"/>
  <c r="L40" i="1"/>
  <c r="J48" i="1"/>
  <c r="L47" i="1"/>
  <c r="J46" i="2" s="1"/>
  <c r="L39" i="1"/>
  <c r="J38" i="2" s="1"/>
  <c r="J47" i="1"/>
  <c r="L46" i="1"/>
  <c r="L38" i="1"/>
  <c r="J37" i="2" s="1"/>
  <c r="J46" i="1"/>
  <c r="L45" i="1"/>
  <c r="L37" i="1"/>
  <c r="J36" i="2" s="1"/>
  <c r="J49" i="1"/>
  <c r="J45" i="2" l="1"/>
  <c r="J44" i="2"/>
  <c r="J41" i="2"/>
  <c r="J40" i="2"/>
  <c r="J39" i="2"/>
  <c r="L66" i="3" a="1"/>
  <c r="M66" i="3" a="1"/>
  <c r="J66" i="3" a="1"/>
  <c r="K66" i="3" a="1"/>
  <c r="L74" i="1"/>
  <c r="J70" i="2" s="1"/>
  <c r="L75" i="1"/>
  <c r="J71" i="2" s="1"/>
  <c r="L76" i="1"/>
  <c r="J72" i="2" s="1"/>
  <c r="L77" i="1"/>
  <c r="J73" i="2" s="1"/>
  <c r="L78" i="1"/>
  <c r="J74" i="2" s="1"/>
  <c r="L79" i="1"/>
  <c r="J75" i="2" s="1"/>
  <c r="L80" i="1"/>
  <c r="J76" i="2" s="1"/>
  <c r="L81" i="1"/>
  <c r="J77" i="2" s="1"/>
  <c r="L82" i="1"/>
  <c r="J78" i="2" s="1"/>
  <c r="L83" i="1"/>
  <c r="J79" i="2" s="1"/>
  <c r="L73" i="1"/>
  <c r="I100" i="1"/>
  <c r="D108" i="2" l="1"/>
  <c r="Q49" i="1" l="1"/>
  <c r="J67" i="3" a="1"/>
  <c r="K67" i="3" a="1"/>
  <c r="L67" i="3" a="1"/>
  <c r="M67" i="3" a="1"/>
  <c r="B70" i="2"/>
  <c r="B71" i="2"/>
  <c r="B72" i="2"/>
  <c r="B73" i="2"/>
  <c r="B74" i="2"/>
  <c r="B75" i="2"/>
  <c r="B76" i="2"/>
  <c r="B77" i="2"/>
  <c r="B78" i="2"/>
  <c r="B79" i="2"/>
  <c r="B80" i="2"/>
  <c r="B81" i="2"/>
  <c r="B82" i="2"/>
  <c r="B83" i="2"/>
  <c r="B29" i="1"/>
  <c r="B30" i="1"/>
  <c r="B31" i="1"/>
  <c r="B15" i="2"/>
  <c r="B16" i="2"/>
  <c r="B17" i="2"/>
  <c r="B18" i="2"/>
  <c r="B19" i="2"/>
  <c r="B20" i="2"/>
  <c r="B23" i="2"/>
  <c r="B24" i="2"/>
  <c r="B25" i="2"/>
  <c r="B26" i="2"/>
  <c r="B27" i="2"/>
  <c r="B28" i="2"/>
  <c r="B29" i="2"/>
  <c r="B30" i="2"/>
  <c r="B31" i="2"/>
  <c r="B32" i="2"/>
  <c r="B33" i="2"/>
  <c r="B34" i="2"/>
  <c r="J74" i="1"/>
  <c r="M74" i="1" s="1"/>
  <c r="N74" i="1" s="1"/>
  <c r="J75" i="1"/>
  <c r="M75" i="1" s="1"/>
  <c r="N75" i="1" s="1"/>
  <c r="J76" i="1"/>
  <c r="M76" i="1" s="1"/>
  <c r="N76" i="1" s="1"/>
  <c r="J77" i="1"/>
  <c r="M77" i="1" s="1"/>
  <c r="N77" i="1" s="1"/>
  <c r="J78" i="1"/>
  <c r="M78" i="1" s="1"/>
  <c r="N78" i="1" s="1"/>
  <c r="J79" i="1"/>
  <c r="M79" i="1" s="1"/>
  <c r="N79" i="1" s="1"/>
  <c r="J80" i="1"/>
  <c r="M80" i="1" s="1"/>
  <c r="N80" i="1" s="1"/>
  <c r="J81" i="1"/>
  <c r="M81" i="1" s="1"/>
  <c r="N81" i="1" s="1"/>
  <c r="J82" i="1"/>
  <c r="M82" i="1" s="1"/>
  <c r="N82" i="1" s="1"/>
  <c r="J83" i="1"/>
  <c r="M83" i="1" s="1"/>
  <c r="N83" i="1" s="1"/>
  <c r="G74" i="1"/>
  <c r="F70" i="2" s="1"/>
  <c r="G75" i="1"/>
  <c r="F71" i="2" s="1"/>
  <c r="G76" i="1"/>
  <c r="F72" i="2" s="1"/>
  <c r="G77" i="1"/>
  <c r="F73" i="2" s="1"/>
  <c r="G78" i="1"/>
  <c r="F74" i="2" s="1"/>
  <c r="G79" i="1"/>
  <c r="F75" i="2" s="1"/>
  <c r="G80" i="1"/>
  <c r="F76" i="2" s="1"/>
  <c r="G81" i="1"/>
  <c r="F77" i="2" s="1"/>
  <c r="G82" i="1"/>
  <c r="F78" i="2" s="1"/>
  <c r="F74" i="1"/>
  <c r="E70" i="2" s="1"/>
  <c r="F75" i="1"/>
  <c r="E71" i="2" s="1"/>
  <c r="F76" i="1"/>
  <c r="E72" i="2" s="1"/>
  <c r="F77" i="1"/>
  <c r="E73" i="2" s="1"/>
  <c r="F78" i="1"/>
  <c r="E74" i="2" s="1"/>
  <c r="F79" i="1"/>
  <c r="E75" i="2" s="1"/>
  <c r="F80" i="1"/>
  <c r="E76" i="2" s="1"/>
  <c r="F81" i="1"/>
  <c r="E77" i="2" s="1"/>
  <c r="E74" i="1"/>
  <c r="D70" i="2" s="1"/>
  <c r="E75" i="1"/>
  <c r="D71" i="2" s="1"/>
  <c r="E76" i="1"/>
  <c r="D72" i="2" s="1"/>
  <c r="E77" i="1"/>
  <c r="D73" i="2" s="1"/>
  <c r="E78" i="1"/>
  <c r="D74" i="2" s="1"/>
  <c r="K16" i="1"/>
  <c r="I15" i="2" s="1"/>
  <c r="K17" i="1"/>
  <c r="I16" i="2" s="1"/>
  <c r="K18" i="1"/>
  <c r="I17" i="2" s="1"/>
  <c r="K19" i="1"/>
  <c r="I18" i="2" s="1"/>
  <c r="K20" i="1"/>
  <c r="I19" i="2" s="1"/>
  <c r="K21" i="1"/>
  <c r="I20" i="2" s="1"/>
  <c r="K22" i="1"/>
  <c r="I21" i="2" s="1"/>
  <c r="K23" i="1"/>
  <c r="I22" i="2" s="1"/>
  <c r="K24" i="1"/>
  <c r="I23" i="2" s="1"/>
  <c r="K25" i="1"/>
  <c r="I24" i="2" s="1"/>
  <c r="K26" i="1"/>
  <c r="I25" i="2" s="1"/>
  <c r="K27" i="1"/>
  <c r="I26" i="2" s="1"/>
  <c r="K28" i="1"/>
  <c r="I27" i="2" s="1"/>
  <c r="K29" i="1"/>
  <c r="I28" i="2" s="1"/>
  <c r="K30" i="1"/>
  <c r="I29" i="2" s="1"/>
  <c r="K31" i="1"/>
  <c r="I30" i="2" s="1"/>
  <c r="K32" i="1"/>
  <c r="I31" i="2" s="1"/>
  <c r="K33" i="1"/>
  <c r="K34" i="1"/>
  <c r="I33" i="2" s="1"/>
  <c r="I16" i="1"/>
  <c r="H15" i="2" s="1"/>
  <c r="I17" i="1"/>
  <c r="H16" i="2" s="1"/>
  <c r="I18" i="1"/>
  <c r="H17" i="2" s="1"/>
  <c r="I19" i="1"/>
  <c r="H18" i="2" s="1"/>
  <c r="I20" i="1"/>
  <c r="H19" i="2" s="1"/>
  <c r="I21" i="1"/>
  <c r="H20" i="2" s="1"/>
  <c r="I22" i="1"/>
  <c r="H21" i="2" s="1"/>
  <c r="I23" i="1"/>
  <c r="H22" i="2" s="1"/>
  <c r="I24" i="1"/>
  <c r="H23" i="2" s="1"/>
  <c r="I25" i="1"/>
  <c r="H24" i="2" s="1"/>
  <c r="I26" i="1"/>
  <c r="H25" i="2" s="1"/>
  <c r="I27" i="1"/>
  <c r="H26" i="2" s="1"/>
  <c r="I28" i="1"/>
  <c r="H27" i="2" s="1"/>
  <c r="I29" i="1"/>
  <c r="H28" i="2" s="1"/>
  <c r="I30" i="1"/>
  <c r="H29" i="2" s="1"/>
  <c r="I31" i="1"/>
  <c r="H30" i="2" s="1"/>
  <c r="I32" i="1"/>
  <c r="H31" i="2" s="1"/>
  <c r="I33" i="1"/>
  <c r="H32" i="2" s="1"/>
  <c r="I34" i="1"/>
  <c r="H33" i="2" s="1"/>
  <c r="I35" i="1"/>
  <c r="H34" i="2" s="1"/>
  <c r="I36" i="1"/>
  <c r="H35" i="2" s="1"/>
  <c r="I37" i="1"/>
  <c r="H36" i="2" s="1"/>
  <c r="I38" i="1"/>
  <c r="H37" i="2" s="1"/>
  <c r="I39" i="1"/>
  <c r="H38" i="2" s="1"/>
  <c r="I40" i="1"/>
  <c r="H39" i="2" s="1"/>
  <c r="I41" i="1"/>
  <c r="H40" i="2" s="1"/>
  <c r="G16" i="1"/>
  <c r="F15" i="2" s="1"/>
  <c r="G17" i="1"/>
  <c r="F16" i="2" s="1"/>
  <c r="G18" i="1"/>
  <c r="F17" i="2" s="1"/>
  <c r="G19" i="1"/>
  <c r="F18" i="2" s="1"/>
  <c r="G20" i="1"/>
  <c r="F19" i="2" s="1"/>
  <c r="G21" i="1"/>
  <c r="F20" i="2" s="1"/>
  <c r="G22" i="1"/>
  <c r="F21" i="2" s="1"/>
  <c r="G23" i="1"/>
  <c r="F22" i="2" s="1"/>
  <c r="G24" i="1"/>
  <c r="F23" i="2" s="1"/>
  <c r="G25" i="1"/>
  <c r="F24" i="2" s="1"/>
  <c r="G26" i="1"/>
  <c r="F25" i="2" s="1"/>
  <c r="G27" i="1"/>
  <c r="F26" i="2" s="1"/>
  <c r="G28" i="1"/>
  <c r="F27" i="2" s="1"/>
  <c r="G29" i="1"/>
  <c r="F28" i="2" s="1"/>
  <c r="G30" i="1"/>
  <c r="F29" i="2" s="1"/>
  <c r="G31" i="1"/>
  <c r="F30" i="2" s="1"/>
  <c r="G32" i="1"/>
  <c r="F31" i="2" s="1"/>
  <c r="G33" i="1"/>
  <c r="F32" i="2" s="1"/>
  <c r="G34" i="1"/>
  <c r="F33" i="2" s="1"/>
  <c r="G35" i="1"/>
  <c r="F34" i="2" s="1"/>
  <c r="G36" i="1"/>
  <c r="F35" i="2" s="1"/>
  <c r="G37" i="1"/>
  <c r="F36" i="2" s="1"/>
  <c r="G38" i="1"/>
  <c r="F37" i="2" s="1"/>
  <c r="G39" i="1"/>
  <c r="F38" i="2" s="1"/>
  <c r="G40" i="1"/>
  <c r="F39" i="2" s="1"/>
  <c r="G41" i="1"/>
  <c r="F40" i="2" s="1"/>
  <c r="F16" i="1"/>
  <c r="E15" i="2" s="1"/>
  <c r="F17" i="1"/>
  <c r="E16" i="2" s="1"/>
  <c r="F18" i="1"/>
  <c r="E17" i="2" s="1"/>
  <c r="F19" i="1"/>
  <c r="E18" i="2" s="1"/>
  <c r="F20" i="1"/>
  <c r="E19" i="2" s="1"/>
  <c r="F21" i="1"/>
  <c r="E20" i="2" s="1"/>
  <c r="F22" i="1"/>
  <c r="E21" i="2" s="1"/>
  <c r="F23" i="1"/>
  <c r="E22" i="2" s="1"/>
  <c r="F24" i="1"/>
  <c r="E23" i="2" s="1"/>
  <c r="F25" i="1"/>
  <c r="E24" i="2" s="1"/>
  <c r="F26" i="1"/>
  <c r="E25" i="2" s="1"/>
  <c r="F27" i="1"/>
  <c r="E26" i="2" s="1"/>
  <c r="F28" i="1"/>
  <c r="E27" i="2" s="1"/>
  <c r="F29" i="1"/>
  <c r="E28" i="2" s="1"/>
  <c r="F30" i="1"/>
  <c r="E29" i="2" s="1"/>
  <c r="F31" i="1"/>
  <c r="E30" i="2" s="1"/>
  <c r="F32" i="1"/>
  <c r="E31" i="2" s="1"/>
  <c r="F33" i="1"/>
  <c r="E32" i="2" s="1"/>
  <c r="F34" i="1"/>
  <c r="E33" i="2" s="1"/>
  <c r="F35" i="1"/>
  <c r="E34" i="2" s="1"/>
  <c r="F36" i="1"/>
  <c r="E35" i="2" s="1"/>
  <c r="F37" i="1"/>
  <c r="E36" i="2" s="1"/>
  <c r="F38" i="1"/>
  <c r="E37" i="2" s="1"/>
  <c r="F39" i="1"/>
  <c r="E38" i="2" s="1"/>
  <c r="E16" i="1"/>
  <c r="D15" i="2" s="1"/>
  <c r="E17" i="1"/>
  <c r="D16" i="2" s="1"/>
  <c r="E18" i="1"/>
  <c r="D17" i="2" s="1"/>
  <c r="E19" i="1"/>
  <c r="D18" i="2" s="1"/>
  <c r="E20" i="1"/>
  <c r="D19" i="2" s="1"/>
  <c r="E21" i="1"/>
  <c r="D20" i="2" s="1"/>
  <c r="E22" i="1"/>
  <c r="D21" i="2" s="1"/>
  <c r="E23" i="1"/>
  <c r="D22" i="2" s="1"/>
  <c r="E24" i="1"/>
  <c r="D23" i="2" s="1"/>
  <c r="E25" i="1"/>
  <c r="D24" i="2" s="1"/>
  <c r="E26" i="1"/>
  <c r="D25" i="2" s="1"/>
  <c r="E27" i="1"/>
  <c r="D26" i="2" s="1"/>
  <c r="E28" i="1"/>
  <c r="D27" i="2" s="1"/>
  <c r="E29" i="1"/>
  <c r="D28" i="2" s="1"/>
  <c r="E30" i="1"/>
  <c r="D29" i="2" s="1"/>
  <c r="E31" i="1"/>
  <c r="D30" i="2" s="1"/>
  <c r="E32" i="1"/>
  <c r="D31" i="2" s="1"/>
  <c r="E33" i="1"/>
  <c r="D32" i="2" s="1"/>
  <c r="E34" i="1"/>
  <c r="D33" i="2" s="1"/>
  <c r="E35" i="1"/>
  <c r="D34" i="2" s="1"/>
  <c r="E36" i="1"/>
  <c r="D35" i="2" s="1"/>
  <c r="E37" i="1"/>
  <c r="D36" i="2" s="1"/>
  <c r="E38" i="1"/>
  <c r="D37" i="2" s="1"/>
  <c r="E39" i="1"/>
  <c r="D38" i="2" s="1"/>
  <c r="E40" i="1"/>
  <c r="D39" i="2" s="1"/>
  <c r="E41" i="1"/>
  <c r="D40" i="2" s="1"/>
  <c r="K28" i="3" a="1"/>
  <c r="K36" i="3" a="1"/>
  <c r="K50" i="3" a="1"/>
  <c r="K60" i="3" a="1"/>
  <c r="J61" i="3" a="1"/>
  <c r="J62" i="3" a="1"/>
  <c r="K63" i="3" a="1"/>
  <c r="J64" i="3" a="1"/>
  <c r="E2" i="3" a="1"/>
  <c r="E3" i="3" a="1"/>
  <c r="E4" i="3" a="1"/>
  <c r="E5" i="3" a="1"/>
  <c r="E6" i="3" a="1"/>
  <c r="E7" i="3" a="1"/>
  <c r="E8" i="3" a="1"/>
  <c r="E9" i="3" a="1"/>
  <c r="E10" i="3" a="1"/>
  <c r="E11" i="3" a="1"/>
  <c r="E12" i="3" a="1"/>
  <c r="E13" i="3" a="1"/>
  <c r="E14" i="3" a="1"/>
  <c r="E15" i="3" a="1"/>
  <c r="E16" i="3" a="1"/>
  <c r="E17" i="3" a="1"/>
  <c r="E18" i="3" a="1"/>
  <c r="E19" i="3" a="1"/>
  <c r="E20" i="3" a="1"/>
  <c r="E21" i="3" a="1"/>
  <c r="E22" i="3" a="1"/>
  <c r="E23" i="3" a="1"/>
  <c r="E24" i="3" a="1"/>
  <c r="E25" i="3" a="1"/>
  <c r="E26" i="3" a="1"/>
  <c r="E27" i="3" a="1"/>
  <c r="E28" i="3" a="1"/>
  <c r="E29" i="3" a="1"/>
  <c r="E30" i="3" a="1"/>
  <c r="E31" i="3" a="1"/>
  <c r="E32" i="3" a="1"/>
  <c r="E33" i="3" a="1"/>
  <c r="E34" i="3" a="1"/>
  <c r="E35" i="3" a="1"/>
  <c r="E36" i="3" a="1"/>
  <c r="E37" i="3" a="1"/>
  <c r="E38" i="3" a="1"/>
  <c r="E39" i="3" a="1"/>
  <c r="E40" i="3" a="1"/>
  <c r="E41" i="3" a="1"/>
  <c r="E42" i="3" a="1"/>
  <c r="E43" i="3" a="1"/>
  <c r="E44" i="3" a="1"/>
  <c r="E45" i="3" a="1"/>
  <c r="E46" i="3" a="1"/>
  <c r="E48" i="3" a="1"/>
  <c r="E49" i="3" a="1"/>
  <c r="E50" i="3" a="1"/>
  <c r="E51" i="3" a="1"/>
  <c r="E55" i="3" a="1"/>
  <c r="E56" i="3" a="1"/>
  <c r="E57" i="3" a="1"/>
  <c r="E58" i="3" a="1"/>
  <c r="E59" i="3" a="1"/>
  <c r="E60" i="3" a="1"/>
  <c r="E61" i="3" a="1"/>
  <c r="E62" i="3" a="1"/>
  <c r="E63" i="3" a="1"/>
  <c r="E64" i="3" a="1"/>
  <c r="B28" i="3"/>
  <c r="B29" i="3"/>
  <c r="B30" i="3"/>
  <c r="B31" i="3"/>
  <c r="B32" i="3"/>
  <c r="B33" i="3"/>
  <c r="B34" i="3"/>
  <c r="B35" i="3"/>
  <c r="B36" i="3"/>
  <c r="B37" i="3"/>
  <c r="B38" i="3"/>
  <c r="B39" i="3"/>
  <c r="B40" i="3"/>
  <c r="B41" i="3"/>
  <c r="B42" i="3"/>
  <c r="B43" i="3"/>
  <c r="B44" i="3"/>
  <c r="B45" i="3"/>
  <c r="B46" i="3"/>
  <c r="B48" i="3"/>
  <c r="B49" i="3"/>
  <c r="B50" i="3"/>
  <c r="B51" i="3"/>
  <c r="B55" i="3"/>
  <c r="B56" i="3"/>
  <c r="B57" i="3"/>
  <c r="B58" i="3"/>
  <c r="B59" i="3"/>
  <c r="B60" i="3"/>
  <c r="B61" i="3"/>
  <c r="B62" i="3"/>
  <c r="B63" i="3"/>
  <c r="B64" i="3"/>
  <c r="C28" i="3"/>
  <c r="C29" i="3"/>
  <c r="C30" i="3"/>
  <c r="C31" i="3"/>
  <c r="C32" i="3"/>
  <c r="C33" i="3"/>
  <c r="C34" i="3"/>
  <c r="C35" i="3"/>
  <c r="C36" i="3"/>
  <c r="C37" i="3"/>
  <c r="C38" i="3"/>
  <c r="C39" i="3"/>
  <c r="C40" i="3"/>
  <c r="C41" i="3"/>
  <c r="C42" i="3"/>
  <c r="C43" i="3"/>
  <c r="C44" i="3"/>
  <c r="C45" i="3"/>
  <c r="C46" i="3"/>
  <c r="C48" i="3"/>
  <c r="C49" i="3"/>
  <c r="C50" i="3"/>
  <c r="C51" i="3"/>
  <c r="C55" i="3"/>
  <c r="C56" i="3"/>
  <c r="C57" i="3"/>
  <c r="C58" i="3"/>
  <c r="C59" i="3"/>
  <c r="C60" i="3"/>
  <c r="C61" i="3"/>
  <c r="C62" i="3"/>
  <c r="C63" i="3"/>
  <c r="C64" i="3"/>
  <c r="D28" i="3"/>
  <c r="D29" i="3"/>
  <c r="D30" i="3"/>
  <c r="D31" i="3"/>
  <c r="D32" i="3"/>
  <c r="D33" i="3"/>
  <c r="D34" i="3"/>
  <c r="D35" i="3"/>
  <c r="D36" i="3"/>
  <c r="D37" i="3"/>
  <c r="D38" i="3"/>
  <c r="D39" i="3"/>
  <c r="D40" i="3"/>
  <c r="D41" i="3"/>
  <c r="D42" i="3"/>
  <c r="D43" i="3"/>
  <c r="D44" i="3"/>
  <c r="D45" i="3"/>
  <c r="D46" i="3"/>
  <c r="D48" i="3"/>
  <c r="D49" i="3"/>
  <c r="D50" i="3"/>
  <c r="D51" i="3"/>
  <c r="D55" i="3"/>
  <c r="D56" i="3"/>
  <c r="D57" i="3"/>
  <c r="D58" i="3"/>
  <c r="D59" i="3"/>
  <c r="D60" i="3"/>
  <c r="D61" i="3"/>
  <c r="D62" i="3"/>
  <c r="D63" i="3"/>
  <c r="D64" i="3"/>
  <c r="K42" i="3" a="1"/>
  <c r="N28" i="3"/>
  <c r="N29" i="3"/>
  <c r="N30" i="3"/>
  <c r="N31" i="3"/>
  <c r="N32" i="3"/>
  <c r="N33" i="3"/>
  <c r="N34" i="3"/>
  <c r="N35" i="3"/>
  <c r="N36" i="3"/>
  <c r="N37" i="3"/>
  <c r="N38" i="3"/>
  <c r="N39" i="3"/>
  <c r="N40" i="3"/>
  <c r="N41" i="3"/>
  <c r="N42" i="3"/>
  <c r="N43" i="3"/>
  <c r="N44" i="3"/>
  <c r="N45" i="3"/>
  <c r="N46" i="3"/>
  <c r="N48" i="3"/>
  <c r="N49" i="3"/>
  <c r="N50" i="3"/>
  <c r="N51" i="3"/>
  <c r="N55" i="3"/>
  <c r="N56" i="3"/>
  <c r="N57" i="3"/>
  <c r="N58" i="3"/>
  <c r="N59" i="3"/>
  <c r="N60" i="3"/>
  <c r="N61" i="3"/>
  <c r="N62" i="3"/>
  <c r="N63" i="3"/>
  <c r="N64" i="3"/>
  <c r="P28" i="3"/>
  <c r="P29" i="3"/>
  <c r="P30" i="3"/>
  <c r="P31" i="3"/>
  <c r="P32" i="3"/>
  <c r="P33" i="3"/>
  <c r="P34" i="3"/>
  <c r="P35" i="3"/>
  <c r="P36" i="3"/>
  <c r="P37" i="3"/>
  <c r="P38" i="3"/>
  <c r="P39" i="3"/>
  <c r="P40" i="3"/>
  <c r="P41" i="3"/>
  <c r="P42" i="3"/>
  <c r="P43" i="3"/>
  <c r="P44" i="3"/>
  <c r="P45" i="3"/>
  <c r="P46" i="3"/>
  <c r="P48" i="3"/>
  <c r="P49" i="3"/>
  <c r="P50" i="3"/>
  <c r="P51" i="3"/>
  <c r="P55" i="3"/>
  <c r="P56" i="3"/>
  <c r="P57" i="3"/>
  <c r="P58" i="3"/>
  <c r="P59" i="3"/>
  <c r="P60" i="3"/>
  <c r="P61" i="3"/>
  <c r="P62" i="3"/>
  <c r="P63" i="3"/>
  <c r="P64" i="3"/>
  <c r="L33" i="1" l="1"/>
  <c r="J32" i="2" s="1"/>
  <c r="I32" i="2"/>
  <c r="M68" i="3" a="1"/>
  <c r="K68" i="3" a="1"/>
  <c r="J68" i="3" a="1"/>
  <c r="L68" i="3" a="1"/>
  <c r="J32" i="1"/>
  <c r="J24" i="1"/>
  <c r="J16" i="1"/>
  <c r="L28" i="1"/>
  <c r="L20" i="1"/>
  <c r="J19" i="2" s="1"/>
  <c r="J30" i="1"/>
  <c r="J22" i="1"/>
  <c r="L26" i="1"/>
  <c r="L18" i="1"/>
  <c r="J17" i="2" s="1"/>
  <c r="J23" i="1"/>
  <c r="L27" i="1"/>
  <c r="J26" i="2" s="1"/>
  <c r="M52" i="1"/>
  <c r="J31" i="1"/>
  <c r="L19" i="1"/>
  <c r="J18" i="2" s="1"/>
  <c r="J29" i="1"/>
  <c r="J21" i="1"/>
  <c r="L25" i="1"/>
  <c r="J24" i="2" s="1"/>
  <c r="L17" i="1"/>
  <c r="J16" i="2" s="1"/>
  <c r="M51" i="1"/>
  <c r="J28" i="1"/>
  <c r="J20" i="1"/>
  <c r="L32" i="1"/>
  <c r="J31" i="2" s="1"/>
  <c r="L24" i="1"/>
  <c r="J23" i="2" s="1"/>
  <c r="L16" i="1"/>
  <c r="J15" i="2" s="1"/>
  <c r="J27" i="1"/>
  <c r="J19" i="1"/>
  <c r="L31" i="1"/>
  <c r="J30" i="2" s="1"/>
  <c r="L23" i="1"/>
  <c r="J26" i="1"/>
  <c r="J18" i="1"/>
  <c r="L30" i="1"/>
  <c r="J29" i="2" s="1"/>
  <c r="L22" i="1"/>
  <c r="J33" i="1"/>
  <c r="J25" i="1"/>
  <c r="J17" i="1"/>
  <c r="L29" i="1"/>
  <c r="J28" i="2" s="1"/>
  <c r="L21" i="1"/>
  <c r="M54" i="1"/>
  <c r="M53" i="1"/>
  <c r="M50" i="1"/>
  <c r="M41" i="1"/>
  <c r="M19" i="1"/>
  <c r="M20" i="1"/>
  <c r="M18" i="1"/>
  <c r="M43" i="1"/>
  <c r="M44" i="1"/>
  <c r="M23" i="1"/>
  <c r="M17" i="1"/>
  <c r="M22" i="1"/>
  <c r="M21" i="1"/>
  <c r="M47" i="1"/>
  <c r="M35" i="1"/>
  <c r="M39" i="1"/>
  <c r="M30" i="1"/>
  <c r="M29" i="1"/>
  <c r="M42" i="1"/>
  <c r="M33" i="1"/>
  <c r="M40" i="1"/>
  <c r="M32" i="1"/>
  <c r="M36" i="1"/>
  <c r="M38" i="1"/>
  <c r="M28" i="1"/>
  <c r="M27" i="1"/>
  <c r="M37" i="1"/>
  <c r="M34" i="1"/>
  <c r="M26" i="1"/>
  <c r="M16" i="1"/>
  <c r="M49" i="1"/>
  <c r="M25" i="1"/>
  <c r="M48" i="1"/>
  <c r="M31" i="1"/>
  <c r="M24" i="1"/>
  <c r="L51" i="3" a="1"/>
  <c r="K49" i="3" a="1"/>
  <c r="L46" i="3" a="1"/>
  <c r="L44" i="3" a="1"/>
  <c r="M42" i="3" a="1"/>
  <c r="J39" i="3" a="1"/>
  <c r="L35" i="3" a="1"/>
  <c r="J33" i="3" a="1"/>
  <c r="K34" i="3" a="1"/>
  <c r="L33" i="3" a="1"/>
  <c r="J41" i="1"/>
  <c r="J34" i="1"/>
  <c r="J40" i="1"/>
  <c r="J39" i="1"/>
  <c r="J38" i="1"/>
  <c r="J37" i="1"/>
  <c r="L34" i="1"/>
  <c r="J33" i="2" s="1"/>
  <c r="J36" i="1"/>
  <c r="J35" i="1"/>
  <c r="M46" i="1"/>
  <c r="M45" i="1"/>
  <c r="K48" i="3" a="1"/>
  <c r="K47" i="3" a="1"/>
  <c r="J47" i="3" a="1"/>
  <c r="L47" i="3" a="1"/>
  <c r="M47" i="3" a="1"/>
  <c r="V35" i="1"/>
  <c r="V30" i="1"/>
  <c r="V36" i="1"/>
  <c r="V24" i="1"/>
  <c r="V25" i="1"/>
  <c r="V31" i="1"/>
  <c r="V33" i="1"/>
  <c r="V34" i="1"/>
  <c r="L52" i="3" a="1"/>
  <c r="J52" i="3" a="1"/>
  <c r="M52" i="3" a="1"/>
  <c r="K52" i="3" a="1"/>
  <c r="J35" i="3" a="1"/>
  <c r="K33" i="3" a="1"/>
  <c r="M51" i="3" a="1"/>
  <c r="M35" i="3" a="1"/>
  <c r="M33" i="3" a="1"/>
  <c r="L62" i="3" a="1"/>
  <c r="Q76" i="1"/>
  <c r="L72" i="2" s="1"/>
  <c r="M61" i="3" a="1"/>
  <c r="M60" i="3" a="1"/>
  <c r="K62" i="3" a="1"/>
  <c r="J60" i="3" a="1"/>
  <c r="M49" i="3" a="1"/>
  <c r="K61" i="3" a="1"/>
  <c r="L61" i="3" a="1"/>
  <c r="M50" i="3" a="1"/>
  <c r="L60" i="3" a="1"/>
  <c r="L50" i="3" a="1"/>
  <c r="J42" i="3" a="1"/>
  <c r="L49" i="3" a="1"/>
  <c r="J44" i="3" a="1"/>
  <c r="L42" i="3" a="1"/>
  <c r="K35" i="3" a="1"/>
  <c r="L36" i="3" a="1"/>
  <c r="K51" i="3" a="1"/>
  <c r="M44" i="3" a="1"/>
  <c r="K46" i="3" a="1"/>
  <c r="L28" i="3" a="1"/>
  <c r="J51" i="3" a="1"/>
  <c r="M62" i="3" a="1"/>
  <c r="M36" i="3" a="1"/>
  <c r="K44" i="3" a="1"/>
  <c r="J49" i="3" a="1"/>
  <c r="J31" i="3" a="1"/>
  <c r="L31" i="3" a="1"/>
  <c r="M31" i="3" a="1"/>
  <c r="K31" i="3" a="1"/>
  <c r="V78" i="1"/>
  <c r="V21" i="1"/>
  <c r="V77" i="1"/>
  <c r="M40" i="3" a="1"/>
  <c r="V83" i="1"/>
  <c r="J57" i="3" a="1"/>
  <c r="V76" i="1"/>
  <c r="L57" i="3" a="1"/>
  <c r="M39" i="3" a="1"/>
  <c r="L39" i="3" a="1"/>
  <c r="K57" i="3" a="1"/>
  <c r="K40" i="3" a="1"/>
  <c r="J50" i="3" a="1"/>
  <c r="J36" i="3" a="1"/>
  <c r="V82" i="1"/>
  <c r="J40" i="3" a="1"/>
  <c r="V20" i="1"/>
  <c r="M28" i="3" a="1"/>
  <c r="K39" i="3" a="1"/>
  <c r="V81" i="1"/>
  <c r="L40" i="3" a="1"/>
  <c r="V16" i="1"/>
  <c r="V80" i="1"/>
  <c r="M57" i="3" a="1"/>
  <c r="L64" i="3" a="1"/>
  <c r="K64" i="3" a="1"/>
  <c r="J63" i="3" a="1"/>
  <c r="J48" i="3" a="1"/>
  <c r="M63" i="3" a="1"/>
  <c r="M48" i="3" a="1"/>
  <c r="L63" i="3" a="1"/>
  <c r="L48" i="3" a="1"/>
  <c r="J46" i="3" a="1"/>
  <c r="J34" i="3" a="1"/>
  <c r="V79" i="1"/>
  <c r="M46" i="3" a="1"/>
  <c r="M34" i="3" a="1"/>
  <c r="L34" i="3" a="1"/>
  <c r="K30" i="3" a="1"/>
  <c r="M30" i="3" a="1"/>
  <c r="J30" i="3" a="1"/>
  <c r="L30" i="3" a="1"/>
  <c r="M59" i="3" a="1"/>
  <c r="K59" i="3" a="1"/>
  <c r="J59" i="3" a="1"/>
  <c r="L59" i="3" a="1"/>
  <c r="L58" i="3" a="1"/>
  <c r="M58" i="3" a="1"/>
  <c r="L41" i="3" a="1"/>
  <c r="K29" i="3" a="1"/>
  <c r="M29" i="3" a="1"/>
  <c r="L29" i="3" a="1"/>
  <c r="J29" i="3" a="1"/>
  <c r="L45" i="3" a="1"/>
  <c r="K45" i="3" a="1"/>
  <c r="M45" i="3" a="1"/>
  <c r="K43" i="3" a="1"/>
  <c r="M43" i="3" a="1"/>
  <c r="J43" i="3" a="1"/>
  <c r="L43" i="3" a="1"/>
  <c r="K38" i="3" a="1"/>
  <c r="L32" i="3" a="1"/>
  <c r="M32" i="3" a="1"/>
  <c r="J56" i="3" a="1"/>
  <c r="L56" i="3" a="1"/>
  <c r="K56" i="3" a="1"/>
  <c r="M56" i="3" a="1"/>
  <c r="K37" i="3" a="1"/>
  <c r="M37" i="3" a="1"/>
  <c r="M64" i="3" a="1"/>
  <c r="L37" i="3" a="1"/>
  <c r="K58" i="3" a="1"/>
  <c r="J28" i="3" a="1"/>
  <c r="K32" i="3" a="1"/>
  <c r="J58" i="3" a="1"/>
  <c r="J32" i="3" a="1"/>
  <c r="J45" i="3" a="1"/>
  <c r="J37" i="3" a="1"/>
  <c r="J22" i="2" l="1"/>
  <c r="J27" i="2"/>
  <c r="J21" i="2"/>
  <c r="J25" i="2"/>
  <c r="J20" i="2"/>
  <c r="W88" i="1"/>
  <c r="X88" i="1" s="1"/>
  <c r="W87" i="1"/>
  <c r="X87" i="1" s="1"/>
  <c r="W84" i="1"/>
  <c r="X84" i="1" s="1"/>
  <c r="Q84" i="1"/>
  <c r="L80" i="2" s="1"/>
  <c r="W83" i="1"/>
  <c r="X83" i="1" s="1"/>
  <c r="Q83" i="1"/>
  <c r="L79" i="2" s="1"/>
  <c r="K78" i="2"/>
  <c r="W82" i="1"/>
  <c r="X82" i="1" s="1"/>
  <c r="Q82" i="1"/>
  <c r="L78" i="2" s="1"/>
  <c r="K77" i="2"/>
  <c r="W81" i="1"/>
  <c r="X81" i="1" s="1"/>
  <c r="Q81" i="1"/>
  <c r="L77" i="2" s="1"/>
  <c r="K76" i="2"/>
  <c r="W80" i="1"/>
  <c r="X80" i="1" s="1"/>
  <c r="Q80" i="1"/>
  <c r="L76" i="2" s="1"/>
  <c r="K75" i="2"/>
  <c r="W79" i="1"/>
  <c r="X79" i="1" s="1"/>
  <c r="Q79" i="1"/>
  <c r="L75" i="2" s="1"/>
  <c r="L55" i="3" a="1"/>
  <c r="M54" i="3" a="1"/>
  <c r="L54" i="3" a="1"/>
  <c r="K54" i="3" a="1"/>
  <c r="J54" i="3" a="1"/>
  <c r="V38" i="1"/>
  <c r="V46" i="1"/>
  <c r="V19" i="1"/>
  <c r="V47" i="1"/>
  <c r="V43" i="1"/>
  <c r="V42" i="1"/>
  <c r="L53" i="3" a="1"/>
  <c r="M53" i="3" a="1"/>
  <c r="J53" i="3" a="1"/>
  <c r="K53" i="3" a="1"/>
  <c r="V74" i="1"/>
  <c r="V75" i="1"/>
  <c r="M55" i="3" a="1"/>
  <c r="J55" i="3" a="1"/>
  <c r="K55" i="3" a="1"/>
  <c r="M41" i="3" a="1"/>
  <c r="J41" i="3" a="1"/>
  <c r="M38" i="3" a="1"/>
  <c r="K41" i="3" a="1"/>
  <c r="L38" i="3" a="1"/>
  <c r="J38" i="3" a="1"/>
  <c r="K70" i="3" l="1" a="1"/>
  <c r="M70" i="3" a="1"/>
  <c r="J70" i="3" a="1"/>
  <c r="L70" i="3" a="1"/>
  <c r="N35" i="1" l="1"/>
  <c r="N31" i="1"/>
  <c r="N36" i="1"/>
  <c r="N34" i="1"/>
  <c r="N33" i="1"/>
  <c r="Q98" i="5"/>
  <c r="Q99" i="5"/>
  <c r="Q100" i="5"/>
  <c r="Q101" i="5"/>
  <c r="Q102" i="5"/>
  <c r="Q86" i="5"/>
  <c r="Q87" i="5"/>
  <c r="Q88" i="5"/>
  <c r="Q89" i="5"/>
  <c r="Q90" i="5"/>
  <c r="Q91" i="5"/>
  <c r="Q92" i="5"/>
  <c r="Q93" i="5"/>
  <c r="Q94" i="5"/>
  <c r="Q95" i="5"/>
  <c r="Q96" i="5"/>
  <c r="Q84" i="5"/>
  <c r="Q85" i="5"/>
  <c r="Q79" i="5"/>
  <c r="Q80" i="5"/>
  <c r="Q81" i="5"/>
  <c r="Q82" i="5"/>
  <c r="Q83" i="5"/>
  <c r="Q73" i="5"/>
  <c r="Q74" i="5"/>
  <c r="Q75" i="5"/>
  <c r="Q76" i="5"/>
  <c r="Q77" i="5"/>
  <c r="Q78" i="5"/>
  <c r="Q70" i="5"/>
  <c r="Q71" i="5"/>
  <c r="Q72" i="5"/>
  <c r="Q67" i="5"/>
  <c r="Q68" i="5"/>
  <c r="Q69" i="5"/>
  <c r="Q49" i="5"/>
  <c r="Q50" i="5"/>
  <c r="Q51" i="5"/>
  <c r="Q52" i="5"/>
  <c r="Q53" i="5"/>
  <c r="Q54" i="5"/>
  <c r="Q55" i="5"/>
  <c r="Q56" i="5"/>
  <c r="Q57" i="5"/>
  <c r="Q58" i="5"/>
  <c r="Q64" i="5"/>
  <c r="Q63" i="5"/>
  <c r="Q65" i="5"/>
  <c r="Q66" i="5"/>
  <c r="Q47" i="5"/>
  <c r="Q48" i="5"/>
  <c r="G69" i="2"/>
  <c r="G14" i="2"/>
  <c r="B14" i="2" s="1"/>
  <c r="J71" i="3" l="1" a="1"/>
  <c r="L71" i="3" a="1"/>
  <c r="M71" i="3" a="1"/>
  <c r="K71" i="3" a="1"/>
  <c r="F52" i="3" a="1"/>
  <c r="F26" i="3" a="1"/>
  <c r="F49" i="3" a="1"/>
  <c r="I52" i="3" a="1"/>
  <c r="F46" i="3" a="1"/>
  <c r="F61" i="3" a="1"/>
  <c r="O61" i="3" s="1"/>
  <c r="O94" i="1" s="1"/>
  <c r="K94" i="1" s="1"/>
  <c r="P94" i="1" s="1"/>
  <c r="Q94" i="1" s="1"/>
  <c r="L90" i="2" s="1"/>
  <c r="F24" i="3" a="1"/>
  <c r="H52" i="3" a="1"/>
  <c r="F16" i="3" a="1"/>
  <c r="F54" i="3" a="1"/>
  <c r="F48" i="3" a="1"/>
  <c r="O48" i="3" s="1"/>
  <c r="F59" i="3" a="1"/>
  <c r="I54" i="3" a="1"/>
  <c r="F18" i="3" a="1"/>
  <c r="F17" i="3" a="1"/>
  <c r="H54" i="3" a="1"/>
  <c r="F62" i="3" a="1"/>
  <c r="F38" i="3" a="1"/>
  <c r="F8" i="3" a="1"/>
  <c r="F58" i="3" a="1"/>
  <c r="F40" i="3" a="1"/>
  <c r="O40" i="3" s="1"/>
  <c r="F42" i="3" a="1"/>
  <c r="H47" i="3" a="1"/>
  <c r="F22" i="3" a="1"/>
  <c r="F50" i="3" a="1"/>
  <c r="F5" i="3" a="1"/>
  <c r="G47" i="3" a="1"/>
  <c r="G53" i="3" a="1"/>
  <c r="Q53" i="3" s="1"/>
  <c r="F25" i="3" a="1"/>
  <c r="F63" i="3" a="1"/>
  <c r="F21" i="3" a="1"/>
  <c r="F12" i="3" a="1"/>
  <c r="F14" i="3" a="1"/>
  <c r="F56" i="3" a="1"/>
  <c r="F37" i="3" a="1"/>
  <c r="F41" i="3" a="1"/>
  <c r="O41" i="3" s="1"/>
  <c r="G52" i="3" a="1"/>
  <c r="F45" i="3" a="1"/>
  <c r="H53" i="3" a="1"/>
  <c r="I53" i="3" a="1"/>
  <c r="G54" i="3" a="1"/>
  <c r="F53" i="3" a="1"/>
  <c r="F33" i="3" a="1"/>
  <c r="F60" i="3" a="1"/>
  <c r="F43" i="3" a="1"/>
  <c r="F57" i="3" a="1"/>
  <c r="F55" i="3" a="1"/>
  <c r="I47" i="3" a="1"/>
  <c r="F4" i="3" a="1"/>
  <c r="F20" i="3" a="1"/>
  <c r="F7" i="3" a="1"/>
  <c r="F32" i="3" a="1"/>
  <c r="O32" i="3" s="1"/>
  <c r="F44" i="3" a="1"/>
  <c r="F47" i="3" a="1"/>
  <c r="O31" i="1"/>
  <c r="O33" i="1"/>
  <c r="O36" i="1"/>
  <c r="O34" i="1"/>
  <c r="O35" i="1"/>
  <c r="I69" i="2"/>
  <c r="B69" i="2"/>
  <c r="G15" i="1"/>
  <c r="F14" i="2" s="1"/>
  <c r="G73" i="1"/>
  <c r="F69" i="2" s="1"/>
  <c r="K90" i="2" l="1"/>
  <c r="W94" i="1"/>
  <c r="X94" i="1" s="1"/>
  <c r="O53" i="3"/>
  <c r="N46" i="1" s="1"/>
  <c r="O46" i="1" s="1"/>
  <c r="O54" i="3"/>
  <c r="N47" i="1" s="1"/>
  <c r="O47" i="1" s="1"/>
  <c r="Q54" i="3"/>
  <c r="O47" i="3"/>
  <c r="N40" i="1" s="1"/>
  <c r="O40" i="1" s="1"/>
  <c r="Q47" i="3"/>
  <c r="O52" i="3"/>
  <c r="N44" i="1" s="1"/>
  <c r="O44" i="1" s="1"/>
  <c r="T44" i="1" a="1"/>
  <c r="U44" i="1" s="1"/>
  <c r="V44" i="1" s="1"/>
  <c r="Q52" i="3"/>
  <c r="H40" i="3" a="1"/>
  <c r="I45" i="3" a="1"/>
  <c r="G58" i="3" a="1"/>
  <c r="H33" i="3" a="1"/>
  <c r="H64" i="3" a="1"/>
  <c r="H68" i="3" a="1"/>
  <c r="H46" i="3" a="1"/>
  <c r="G59" i="3" a="1"/>
  <c r="G64" i="3" a="1"/>
  <c r="F31" i="3" a="1"/>
  <c r="F10" i="3" a="1"/>
  <c r="F9" i="3" a="1"/>
  <c r="F30" i="3" a="1"/>
  <c r="T40" i="1" a="1"/>
  <c r="U40" i="1" s="1"/>
  <c r="V40" i="1" s="1"/>
  <c r="G31" i="3" a="1"/>
  <c r="H59" i="3" a="1"/>
  <c r="H61" i="3" a="1"/>
  <c r="I65" i="3" a="1"/>
  <c r="T55" i="1" a="1"/>
  <c r="U55" i="1" s="1"/>
  <c r="G30" i="3" a="1"/>
  <c r="F2" i="3" a="1"/>
  <c r="H63" i="3" a="1"/>
  <c r="H62" i="3" a="1"/>
  <c r="I41" i="3" a="1"/>
  <c r="G39" i="3" a="1"/>
  <c r="F36" i="3" a="1"/>
  <c r="H60" i="3" a="1"/>
  <c r="H65" i="3" a="1"/>
  <c r="G41" i="3" a="1"/>
  <c r="Q41" i="3" s="1"/>
  <c r="I32" i="3" a="1"/>
  <c r="H49" i="3" a="1"/>
  <c r="H70" i="3" a="1"/>
  <c r="I68" i="3" a="1"/>
  <c r="G28" i="3" a="1"/>
  <c r="G42" i="3" a="1"/>
  <c r="F65" i="3" a="1"/>
  <c r="F11" i="3" a="1"/>
  <c r="H37" i="3" a="1"/>
  <c r="H32" i="3" a="1"/>
  <c r="H43" i="3" a="1"/>
  <c r="F23" i="3" a="1"/>
  <c r="I43" i="3" a="1"/>
  <c r="G57" i="3" a="1"/>
  <c r="H58" i="3" a="1"/>
  <c r="G50" i="3" a="1"/>
  <c r="G61" i="3" a="1"/>
  <c r="F71" i="3" a="1"/>
  <c r="G65" i="3" a="1"/>
  <c r="I46" i="3" a="1"/>
  <c r="H56" i="3" a="1"/>
  <c r="I57" i="3" a="1"/>
  <c r="F27" i="3" a="1"/>
  <c r="T39" i="1" a="1"/>
  <c r="U39" i="1" s="1"/>
  <c r="V39" i="1" s="1"/>
  <c r="F70" i="3" a="1"/>
  <c r="T57" i="1" a="1"/>
  <c r="U57" i="1" s="1"/>
  <c r="V57" i="1" s="1"/>
  <c r="I63" i="3" a="1"/>
  <c r="H28" i="3" a="1"/>
  <c r="I56" i="3" a="1"/>
  <c r="T67" i="1" a="1"/>
  <c r="U67" i="1" s="1"/>
  <c r="V67" i="1" s="1"/>
  <c r="I50" i="3" a="1"/>
  <c r="H39" i="3" a="1"/>
  <c r="F51" i="3" a="1"/>
  <c r="G44" i="3" a="1"/>
  <c r="Q44" i="3" s="1"/>
  <c r="H45" i="3" a="1"/>
  <c r="G48" i="3" a="1"/>
  <c r="Q48" i="3" s="1"/>
  <c r="F67" i="3" a="1"/>
  <c r="O67" i="3" s="1"/>
  <c r="O97" i="1" s="1"/>
  <c r="K97" i="1" s="1"/>
  <c r="P97" i="1" s="1"/>
  <c r="I39" i="3" a="1"/>
  <c r="F3" i="3" a="1"/>
  <c r="H34" i="3" a="1"/>
  <c r="G37" i="3" a="1"/>
  <c r="Q37" i="3" s="1"/>
  <c r="H41" i="3" a="1"/>
  <c r="H55" i="3" a="1"/>
  <c r="I29" i="3" a="1"/>
  <c r="G51" i="3" a="1"/>
  <c r="G66" i="3" a="1"/>
  <c r="H67" i="3" a="1"/>
  <c r="I40" i="3" a="1"/>
  <c r="I35" i="3" a="1"/>
  <c r="F19" i="3" a="1"/>
  <c r="G34" i="3" a="1"/>
  <c r="Q34" i="3" s="1"/>
  <c r="G68" i="3" a="1"/>
  <c r="G67" i="3" a="1"/>
  <c r="Q67" i="3" s="1"/>
  <c r="I59" i="3" a="1"/>
  <c r="G55" i="3" a="1"/>
  <c r="Q55" i="3" s="1"/>
  <c r="I31" i="3" a="1"/>
  <c r="F34" i="3" a="1"/>
  <c r="V55" i="1"/>
  <c r="I55" i="3" a="1"/>
  <c r="G32" i="3" a="1"/>
  <c r="Q32" i="3" s="1"/>
  <c r="F13" i="3" a="1"/>
  <c r="G70" i="3" a="1"/>
  <c r="H42" i="3" a="1"/>
  <c r="H36" i="3" a="1"/>
  <c r="H35" i="3" a="1"/>
  <c r="G33" i="3" a="1"/>
  <c r="F15" i="3" a="1"/>
  <c r="H71" i="3" a="1"/>
  <c r="G60" i="3" a="1"/>
  <c r="I62" i="3" a="1"/>
  <c r="I37" i="3" a="1"/>
  <c r="T97" i="1" a="1"/>
  <c r="U97" i="1" s="1"/>
  <c r="V97" i="1" s="1"/>
  <c r="I60" i="3" a="1"/>
  <c r="I61" i="3" a="1"/>
  <c r="I70" i="3" a="1"/>
  <c r="I49" i="3" a="1"/>
  <c r="H51" i="3" a="1"/>
  <c r="F6" i="3" a="1"/>
  <c r="G45" i="3" a="1"/>
  <c r="G2" i="3" a="1"/>
  <c r="G63" i="3" a="1"/>
  <c r="H48" i="3" a="1"/>
  <c r="H44" i="3" a="1"/>
  <c r="F39" i="3" a="1"/>
  <c r="I33" i="3" a="1"/>
  <c r="G36" i="3" a="1"/>
  <c r="Q36" i="3" s="1"/>
  <c r="G35" i="3" a="1"/>
  <c r="F28" i="3" a="1"/>
  <c r="T84" i="1" a="1"/>
  <c r="U84" i="1" s="1"/>
  <c r="V84" i="1" s="1"/>
  <c r="I58" i="3" a="1"/>
  <c r="I42" i="3" a="1"/>
  <c r="H50" i="3" a="1"/>
  <c r="I48" i="3" a="1"/>
  <c r="F68" i="3" a="1"/>
  <c r="H57" i="3" a="1"/>
  <c r="I30" i="3" a="1"/>
  <c r="T41" i="1" a="1"/>
  <c r="U41" i="1" s="1"/>
  <c r="V41" i="1" s="1"/>
  <c r="G46" i="3" a="1"/>
  <c r="G29" i="3" a="1"/>
  <c r="T56" i="1" a="1"/>
  <c r="U56" i="1" s="1"/>
  <c r="V56" i="1" s="1"/>
  <c r="H66" i="3" a="1"/>
  <c r="G56" i="3" a="1"/>
  <c r="H31" i="3" a="1"/>
  <c r="G62" i="3" a="1"/>
  <c r="H30" i="3" a="1"/>
  <c r="I71" i="3" a="1"/>
  <c r="I36" i="3" a="1"/>
  <c r="I44" i="3" a="1"/>
  <c r="I67" i="3" a="1"/>
  <c r="I38" i="3" a="1"/>
  <c r="G49" i="3" a="1"/>
  <c r="H38" i="3" a="1"/>
  <c r="G71" i="3" a="1"/>
  <c r="I28" i="3" a="1"/>
  <c r="F64" i="3" a="1"/>
  <c r="H29" i="3" a="1"/>
  <c r="G38" i="3" a="1"/>
  <c r="I66" i="3" a="1"/>
  <c r="F35" i="3" a="1"/>
  <c r="I34" i="3" a="1"/>
  <c r="G43" i="3" a="1"/>
  <c r="F29" i="3" a="1"/>
  <c r="O29" i="3" s="1"/>
  <c r="I51" i="3" a="1"/>
  <c r="G40" i="3" a="1"/>
  <c r="Q40" i="3" s="1"/>
  <c r="I64" i="3" a="1"/>
  <c r="F66" i="3" a="1"/>
  <c r="J73" i="1"/>
  <c r="M73" i="1" s="1"/>
  <c r="F73" i="1"/>
  <c r="E69" i="2" s="1"/>
  <c r="E73" i="1"/>
  <c r="D69" i="2" s="1"/>
  <c r="J69" i="2"/>
  <c r="K93" i="2" l="1"/>
  <c r="W97" i="1"/>
  <c r="X97" i="1" s="1"/>
  <c r="O37" i="3"/>
  <c r="O88" i="1" s="1"/>
  <c r="K88" i="1" s="1"/>
  <c r="P88" i="1" s="1"/>
  <c r="K84" i="2" s="1"/>
  <c r="T50" i="1" a="1"/>
  <c r="U50" i="1" s="1"/>
  <c r="V50" i="1" s="1"/>
  <c r="T48" i="1" a="1"/>
  <c r="U48" i="1" s="1"/>
  <c r="V48" i="1" s="1"/>
  <c r="T49" i="1" a="1"/>
  <c r="U49" i="1" s="1"/>
  <c r="V49" i="1" s="1"/>
  <c r="Q61" i="3"/>
  <c r="T51" i="1" a="1"/>
  <c r="U51" i="1" s="1"/>
  <c r="V51" i="1" s="1"/>
  <c r="O44" i="3"/>
  <c r="N38" i="1" s="1"/>
  <c r="O38" i="1" s="1"/>
  <c r="O36" i="3"/>
  <c r="O87" i="1" s="1"/>
  <c r="K87" i="1" s="1"/>
  <c r="P87" i="1" s="1"/>
  <c r="K83" i="2" s="1"/>
  <c r="T45" i="1" a="1"/>
  <c r="U45" i="1" s="1"/>
  <c r="V45" i="1" s="1"/>
  <c r="O55" i="3"/>
  <c r="O43" i="3"/>
  <c r="N37" i="1" s="1"/>
  <c r="O37" i="1" s="1"/>
  <c r="O34" i="3"/>
  <c r="Q71" i="3"/>
  <c r="O71" i="3"/>
  <c r="N67" i="1" s="1"/>
  <c r="O67" i="1" s="1"/>
  <c r="Q70" i="3"/>
  <c r="O70" i="3"/>
  <c r="N57" i="1" s="1"/>
  <c r="O57" i="1" s="1"/>
  <c r="Q66" i="3"/>
  <c r="O66" i="3"/>
  <c r="Q68" i="3"/>
  <c r="O68" i="3"/>
  <c r="O62" i="3"/>
  <c r="Q62" i="3"/>
  <c r="O50" i="3"/>
  <c r="Q50" i="3"/>
  <c r="Q42" i="3"/>
  <c r="O42" i="3"/>
  <c r="N41" i="1" s="1"/>
  <c r="O41" i="1" s="1"/>
  <c r="O63" i="3"/>
  <c r="N52" i="1" s="1"/>
  <c r="O52" i="1" s="1"/>
  <c r="Q63" i="3"/>
  <c r="O28" i="3"/>
  <c r="T27" i="1" a="1"/>
  <c r="U27" i="1" s="1"/>
  <c r="V27" i="1" s="1"/>
  <c r="Q28" i="3"/>
  <c r="O56" i="3"/>
  <c r="Q56" i="3"/>
  <c r="O57" i="3"/>
  <c r="Q57" i="3"/>
  <c r="O64" i="3"/>
  <c r="Q64" i="3"/>
  <c r="O49" i="3"/>
  <c r="N42" i="1" s="1"/>
  <c r="O42" i="1" s="1"/>
  <c r="Q49" i="3"/>
  <c r="O45" i="3"/>
  <c r="Q45" i="3"/>
  <c r="O60" i="3"/>
  <c r="Q60" i="3"/>
  <c r="O51" i="3"/>
  <c r="Q51" i="3"/>
  <c r="O30" i="3"/>
  <c r="T29" i="1" a="1"/>
  <c r="U29" i="1" s="1"/>
  <c r="V29" i="1" s="1"/>
  <c r="Q30" i="3"/>
  <c r="O59" i="3"/>
  <c r="N49" i="1" s="1"/>
  <c r="O49" i="1" s="1"/>
  <c r="Q59" i="3"/>
  <c r="T37" i="1" a="1"/>
  <c r="U37" i="1" s="1"/>
  <c r="V37" i="1" s="1"/>
  <c r="Q43" i="3"/>
  <c r="Q29" i="3"/>
  <c r="O46" i="3"/>
  <c r="N39" i="1" s="1"/>
  <c r="O39" i="1" s="1"/>
  <c r="Q46" i="3"/>
  <c r="O35" i="3"/>
  <c r="Q35" i="3"/>
  <c r="Q33" i="3"/>
  <c r="T32" i="1" a="1"/>
  <c r="U32" i="1" s="1"/>
  <c r="V32" i="1" s="1"/>
  <c r="O33" i="3"/>
  <c r="O38" i="3"/>
  <c r="Q38" i="3"/>
  <c r="Q65" i="3"/>
  <c r="O65" i="3"/>
  <c r="O31" i="3"/>
  <c r="Q31" i="3"/>
  <c r="O58" i="3"/>
  <c r="Q58" i="3"/>
  <c r="O39" i="3"/>
  <c r="Q39" i="3"/>
  <c r="L98" i="1"/>
  <c r="N73" i="1"/>
  <c r="N98" i="1" s="1"/>
  <c r="M98" i="1"/>
  <c r="N43" i="1" l="1"/>
  <c r="O43" i="1" s="1"/>
  <c r="N45" i="1"/>
  <c r="O45" i="1" s="1"/>
  <c r="N53" i="1"/>
  <c r="O53" i="1" s="1"/>
  <c r="N54" i="1"/>
  <c r="O54" i="1" s="1"/>
  <c r="N56" i="1"/>
  <c r="O56" i="1" s="1"/>
  <c r="N55" i="1"/>
  <c r="O55" i="1" s="1"/>
  <c r="N50" i="1"/>
  <c r="O50" i="1" s="1"/>
  <c r="N51" i="1"/>
  <c r="O51" i="1" s="1"/>
  <c r="N48" i="1"/>
  <c r="O48" i="1" s="1"/>
  <c r="N32" i="1"/>
  <c r="O32" i="1" s="1"/>
  <c r="D102" i="2"/>
  <c r="D111" i="2"/>
  <c r="D110" i="2"/>
  <c r="D104" i="2"/>
  <c r="D105" i="2"/>
  <c r="D106" i="2"/>
  <c r="D107" i="2"/>
  <c r="D103" i="2"/>
  <c r="D100" i="2"/>
  <c r="D101" i="2"/>
  <c r="D99" i="2"/>
  <c r="I15" i="1" l="1"/>
  <c r="H14" i="2" s="1"/>
  <c r="K15" i="1" l="1"/>
  <c r="M2" i="3" a="1"/>
  <c r="L2" i="3" a="1"/>
  <c r="K2" i="3" a="1"/>
  <c r="J2" i="3" a="1"/>
  <c r="B16" i="1"/>
  <c r="B17" i="1"/>
  <c r="B18" i="1"/>
  <c r="B19" i="1"/>
  <c r="B20" i="1"/>
  <c r="B21" i="1"/>
  <c r="B22" i="1"/>
  <c r="B23" i="1"/>
  <c r="B24" i="1"/>
  <c r="B25" i="1"/>
  <c r="B26" i="1"/>
  <c r="B27" i="1"/>
  <c r="B28" i="1"/>
  <c r="L25" i="3" a="1"/>
  <c r="I14" i="2" l="1"/>
  <c r="L15" i="1"/>
  <c r="J15" i="3" a="1"/>
  <c r="M18" i="3" a="1"/>
  <c r="K12" i="3" a="1"/>
  <c r="K15" i="3" a="1"/>
  <c r="M26" i="3" a="1"/>
  <c r="J26" i="3" a="1"/>
  <c r="M22" i="3" a="1"/>
  <c r="J13" i="3" a="1"/>
  <c r="J25" i="3" a="1"/>
  <c r="K21" i="3" a="1"/>
  <c r="J20" i="3" a="1"/>
  <c r="K19" i="3" a="1"/>
  <c r="K14" i="3" a="1"/>
  <c r="L26" i="3" a="1"/>
  <c r="L15" i="3" a="1"/>
  <c r="M25" i="3" a="1"/>
  <c r="M16" i="3" a="1"/>
  <c r="K27" i="3" a="1"/>
  <c r="K23" i="3" a="1"/>
  <c r="K18" i="3" a="1"/>
  <c r="L20" i="3" a="1"/>
  <c r="L14" i="3" a="1"/>
  <c r="M20" i="3" a="1"/>
  <c r="J19" i="3" a="1"/>
  <c r="J14" i="3" a="1"/>
  <c r="K26" i="3" a="1"/>
  <c r="K22" i="3" a="1"/>
  <c r="K13" i="3" a="1"/>
  <c r="L24" i="3" a="1"/>
  <c r="L19" i="3" a="1"/>
  <c r="M24" i="3" a="1"/>
  <c r="M15" i="3" a="1"/>
  <c r="J27" i="3" a="1"/>
  <c r="J23" i="3" a="1"/>
  <c r="J18" i="3" a="1"/>
  <c r="K25" i="3" a="1"/>
  <c r="K17" i="3" a="1"/>
  <c r="L18" i="3" a="1"/>
  <c r="L13" i="3" a="1"/>
  <c r="M19" i="3" a="1"/>
  <c r="M14" i="3" a="1"/>
  <c r="J17" i="3" a="1"/>
  <c r="K24" i="3" a="1"/>
  <c r="K16" i="3" a="1"/>
  <c r="L22" i="3" a="1"/>
  <c r="L17" i="3" a="1"/>
  <c r="L12" i="3" a="1"/>
  <c r="M23" i="3" a="1"/>
  <c r="M13" i="3" a="1"/>
  <c r="L23" i="3" a="1"/>
  <c r="J21" i="3" a="1"/>
  <c r="J12" i="3" a="1"/>
  <c r="K20" i="3" a="1"/>
  <c r="M27" i="3" a="1"/>
  <c r="J24" i="3" a="1"/>
  <c r="J16" i="3" a="1"/>
  <c r="L27" i="3" a="1"/>
  <c r="L21" i="3" a="1"/>
  <c r="M12" i="3" a="1"/>
  <c r="M3" i="3" l="1" a="1"/>
  <c r="L16" i="3" a="1"/>
  <c r="K11" i="3" a="1"/>
  <c r="L3" i="3" a="1"/>
  <c r="M11" i="3" a="1"/>
  <c r="J11" i="3" a="1"/>
  <c r="J3" i="3" a="1"/>
  <c r="K3" i="3" a="1"/>
  <c r="M17" i="3" l="1" a="1"/>
  <c r="B9" i="3"/>
  <c r="C9" i="3"/>
  <c r="D9" i="3"/>
  <c r="N9" i="3"/>
  <c r="P9" i="3"/>
  <c r="B10" i="3"/>
  <c r="C10" i="3"/>
  <c r="D10" i="3"/>
  <c r="N10" i="3"/>
  <c r="P10" i="3"/>
  <c r="B11" i="3"/>
  <c r="C11" i="3"/>
  <c r="D11" i="3"/>
  <c r="N11" i="3"/>
  <c r="O11" i="3" s="1"/>
  <c r="O77" i="1" s="1"/>
  <c r="K77" i="1" s="1"/>
  <c r="P77" i="1" s="1"/>
  <c r="Q77" i="1" s="1"/>
  <c r="L73" i="2" s="1"/>
  <c r="P11" i="3"/>
  <c r="B12" i="3"/>
  <c r="C12" i="3"/>
  <c r="D12" i="3"/>
  <c r="N12" i="3"/>
  <c r="P12" i="3"/>
  <c r="B13" i="3"/>
  <c r="C13" i="3"/>
  <c r="D13" i="3"/>
  <c r="N13" i="3"/>
  <c r="P13" i="3"/>
  <c r="B14" i="3"/>
  <c r="C14" i="3"/>
  <c r="D14" i="3"/>
  <c r="N14" i="3"/>
  <c r="P14" i="3"/>
  <c r="B15" i="3"/>
  <c r="C15" i="3"/>
  <c r="D15" i="3"/>
  <c r="N15" i="3"/>
  <c r="O15" i="3" s="1"/>
  <c r="P15" i="3"/>
  <c r="B16" i="3"/>
  <c r="C16" i="3"/>
  <c r="D16" i="3"/>
  <c r="N16" i="3"/>
  <c r="P16" i="3"/>
  <c r="B17" i="3"/>
  <c r="C17" i="3"/>
  <c r="D17" i="3"/>
  <c r="N17" i="3"/>
  <c r="P17" i="3"/>
  <c r="B18" i="3"/>
  <c r="C18" i="3"/>
  <c r="D18" i="3"/>
  <c r="N18" i="3"/>
  <c r="O18" i="3" s="1"/>
  <c r="P18" i="3"/>
  <c r="B19" i="3"/>
  <c r="C19" i="3"/>
  <c r="D19" i="3"/>
  <c r="N19" i="3"/>
  <c r="O19" i="3" s="1"/>
  <c r="P19" i="3"/>
  <c r="B20" i="3"/>
  <c r="C20" i="3"/>
  <c r="D20" i="3"/>
  <c r="N20" i="3"/>
  <c r="P20" i="3"/>
  <c r="B21" i="3"/>
  <c r="C21" i="3"/>
  <c r="D21" i="3"/>
  <c r="N21" i="3"/>
  <c r="P21" i="3"/>
  <c r="B22" i="3"/>
  <c r="C22" i="3"/>
  <c r="D22" i="3"/>
  <c r="N22" i="3"/>
  <c r="O22" i="3" s="1"/>
  <c r="P22" i="3"/>
  <c r="B23" i="3"/>
  <c r="C23" i="3"/>
  <c r="D23" i="3"/>
  <c r="N23" i="3"/>
  <c r="P23" i="3"/>
  <c r="B24" i="3"/>
  <c r="C24" i="3"/>
  <c r="D24" i="3"/>
  <c r="N24" i="3"/>
  <c r="P24" i="3"/>
  <c r="B25" i="3"/>
  <c r="C25" i="3"/>
  <c r="D25" i="3"/>
  <c r="N25" i="3"/>
  <c r="P25" i="3"/>
  <c r="B26" i="3"/>
  <c r="C26" i="3"/>
  <c r="D26" i="3"/>
  <c r="N26" i="3"/>
  <c r="P26" i="3"/>
  <c r="B27" i="3"/>
  <c r="C27" i="3"/>
  <c r="D27" i="3"/>
  <c r="N27" i="3"/>
  <c r="P27" i="3"/>
  <c r="B8" i="3"/>
  <c r="C8" i="3"/>
  <c r="D8" i="3"/>
  <c r="N8" i="3"/>
  <c r="P8" i="3"/>
  <c r="W77" i="1" l="1"/>
  <c r="X77" i="1" s="1"/>
  <c r="K73" i="2"/>
  <c r="M4" i="3" a="1"/>
  <c r="L4" i="3" a="1"/>
  <c r="K4" i="3" a="1"/>
  <c r="J4" i="3" a="1"/>
  <c r="Q2" i="5"/>
  <c r="Q3" i="5"/>
  <c r="Q4" i="5"/>
  <c r="Q8" i="5"/>
  <c r="Q9" i="5"/>
  <c r="Q10" i="5"/>
  <c r="Q11" i="5"/>
  <c r="Q12" i="5"/>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J5" i="3" l="1" a="1"/>
  <c r="M5" i="3" a="1"/>
  <c r="K5" i="3" a="1"/>
  <c r="L5" i="3" a="1"/>
  <c r="L6" i="3" l="1" a="1"/>
  <c r="J6" i="3" a="1"/>
  <c r="M6" i="3" a="1"/>
  <c r="K6" i="3" a="1"/>
  <c r="E15" i="1"/>
  <c r="D14" i="2" s="1"/>
  <c r="F15" i="1"/>
  <c r="E14" i="2" s="1"/>
  <c r="L7" i="3" l="1" a="1"/>
  <c r="M7" i="3" a="1"/>
  <c r="K7" i="3" a="1"/>
  <c r="J7" i="3" a="1"/>
  <c r="L11" i="3" a="1"/>
  <c r="B15" i="1"/>
  <c r="P2" i="3" l="1"/>
  <c r="P3" i="3"/>
  <c r="P4" i="3"/>
  <c r="P5" i="3"/>
  <c r="P6" i="3"/>
  <c r="P7" i="3"/>
  <c r="N2" i="3"/>
  <c r="O2" i="3" s="1"/>
  <c r="O73" i="1" s="1"/>
  <c r="K73" i="1" s="1"/>
  <c r="P73" i="1" s="1"/>
  <c r="Q73" i="1" s="1"/>
  <c r="L69" i="2" s="1"/>
  <c r="N3" i="3"/>
  <c r="O3" i="3" s="1"/>
  <c r="O74" i="1" s="1"/>
  <c r="K74" i="1" s="1"/>
  <c r="P74" i="1" s="1"/>
  <c r="Q74" i="1" s="1"/>
  <c r="L70" i="2" s="1"/>
  <c r="N4" i="3"/>
  <c r="O4" i="3" s="1"/>
  <c r="O75" i="1" s="1"/>
  <c r="K75" i="1" s="1"/>
  <c r="P75" i="1" s="1"/>
  <c r="Q75" i="1" s="1"/>
  <c r="L71" i="2" s="1"/>
  <c r="N5" i="3"/>
  <c r="N6" i="3"/>
  <c r="O6" i="3" s="1"/>
  <c r="O76" i="1" s="1"/>
  <c r="K76" i="1" s="1"/>
  <c r="P76" i="1" s="1"/>
  <c r="N7" i="3"/>
  <c r="O7" i="3" s="1"/>
  <c r="J15" i="1"/>
  <c r="M15" i="1"/>
  <c r="D5" i="3"/>
  <c r="D7" i="3"/>
  <c r="D3" i="3"/>
  <c r="D4" i="3"/>
  <c r="D2" i="3"/>
  <c r="D6" i="3"/>
  <c r="C5" i="3"/>
  <c r="C7" i="3"/>
  <c r="C3" i="3"/>
  <c r="C4" i="3"/>
  <c r="C2" i="3"/>
  <c r="C6" i="3"/>
  <c r="B5" i="3"/>
  <c r="B7" i="3"/>
  <c r="B3" i="3"/>
  <c r="B4" i="3"/>
  <c r="B2" i="3"/>
  <c r="B6" i="3"/>
  <c r="K72" i="2" l="1"/>
  <c r="W76" i="1"/>
  <c r="X76" i="1" s="1"/>
  <c r="K71" i="2"/>
  <c r="W75" i="1"/>
  <c r="X75" i="1" s="1"/>
  <c r="K70" i="2"/>
  <c r="W74" i="1"/>
  <c r="X74" i="1" s="1"/>
  <c r="K69" i="2"/>
  <c r="J14" i="2"/>
  <c r="L68" i="1"/>
  <c r="J68" i="1"/>
  <c r="G104" i="1" s="1"/>
  <c r="G113" i="1" l="1"/>
  <c r="I108" i="2" s="1"/>
  <c r="S11" i="1"/>
  <c r="Q56" i="1"/>
  <c r="H113" i="1" a="1"/>
  <c r="J108" i="2" s="1"/>
  <c r="P66" i="1"/>
  <c r="R66" i="1" s="1"/>
  <c r="P64" i="1"/>
  <c r="P61" i="1"/>
  <c r="R61" i="1" s="1"/>
  <c r="P60" i="1"/>
  <c r="R60" i="1" s="1"/>
  <c r="P59" i="1"/>
  <c r="R59" i="1" s="1"/>
  <c r="P58" i="1"/>
  <c r="R58" i="1" s="1"/>
  <c r="P65" i="1"/>
  <c r="R65" i="1" s="1"/>
  <c r="P63" i="1"/>
  <c r="P62" i="1"/>
  <c r="P35" i="1"/>
  <c r="P47" i="1"/>
  <c r="P34" i="1"/>
  <c r="P36" i="1"/>
  <c r="P33" i="1"/>
  <c r="P31" i="1"/>
  <c r="P46" i="1"/>
  <c r="P44" i="1"/>
  <c r="P40" i="1"/>
  <c r="P43" i="1"/>
  <c r="P52" i="1"/>
  <c r="P41" i="1"/>
  <c r="P38" i="1"/>
  <c r="P57" i="1"/>
  <c r="P49" i="1"/>
  <c r="R49" i="1" s="1"/>
  <c r="S49" i="1" s="1"/>
  <c r="K48" i="2" s="1"/>
  <c r="L48" i="2" s="1"/>
  <c r="P39" i="1"/>
  <c r="P37" i="1"/>
  <c r="P42" i="1"/>
  <c r="P67" i="1"/>
  <c r="P55" i="1"/>
  <c r="P50" i="1"/>
  <c r="P56" i="1"/>
  <c r="P45" i="1"/>
  <c r="P32" i="1"/>
  <c r="P54" i="1"/>
  <c r="P53" i="1"/>
  <c r="P51" i="1"/>
  <c r="P48" i="1"/>
  <c r="R48" i="1" s="1"/>
  <c r="S48" i="1" s="1"/>
  <c r="K47" i="2" s="1"/>
  <c r="L47" i="2" s="1"/>
  <c r="W11" i="1"/>
  <c r="U11" i="1"/>
  <c r="W6" i="1"/>
  <c r="V6" i="1"/>
  <c r="U6" i="1"/>
  <c r="S6" i="1"/>
  <c r="X6" i="1"/>
  <c r="M21" i="3" a="1"/>
  <c r="G105" i="1"/>
  <c r="H106" i="1" s="1"/>
  <c r="G106" i="1" s="1"/>
  <c r="L8" i="3" l="1" a="1"/>
  <c r="M8" i="3" a="1"/>
  <c r="J8" i="3" a="1"/>
  <c r="K8" i="3" a="1"/>
  <c r="I100" i="2"/>
  <c r="I99" i="2"/>
  <c r="S9" i="1"/>
  <c r="G110" i="1" s="1"/>
  <c r="H110" i="1" s="1"/>
  <c r="W9" i="1"/>
  <c r="G112" i="1" s="1"/>
  <c r="H112" i="1" s="1"/>
  <c r="U9" i="1"/>
  <c r="G111" i="1" s="1"/>
  <c r="H111" i="1" s="1"/>
  <c r="G109" i="1"/>
  <c r="Q64" i="1" s="1"/>
  <c r="R64" i="1" s="1"/>
  <c r="S64" i="1" s="1"/>
  <c r="K63" i="2" l="1"/>
  <c r="L63" i="2" s="1"/>
  <c r="W64" i="1"/>
  <c r="X64" i="1" s="1"/>
  <c r="Q46" i="1"/>
  <c r="H109" i="1"/>
  <c r="J104" i="2" s="1"/>
  <c r="Q54" i="1"/>
  <c r="R54" i="1" s="1"/>
  <c r="S54" i="1" s="1"/>
  <c r="K53" i="2" s="1"/>
  <c r="L53" i="2" s="1"/>
  <c r="Q45" i="1"/>
  <c r="R45" i="1" s="1"/>
  <c r="S45" i="1" s="1"/>
  <c r="K44" i="2" s="1"/>
  <c r="L44" i="2" s="1"/>
  <c r="Q42" i="1"/>
  <c r="R42" i="1" s="1"/>
  <c r="S42" i="1" s="1"/>
  <c r="K41" i="2" s="1"/>
  <c r="L41" i="2" s="1"/>
  <c r="Q53" i="1"/>
  <c r="R53" i="1" s="1"/>
  <c r="S53" i="1" s="1"/>
  <c r="K52" i="2" s="1"/>
  <c r="L52" i="2" s="1"/>
  <c r="Q40" i="1"/>
  <c r="R40" i="1" s="1"/>
  <c r="S40" i="1" s="1"/>
  <c r="K39" i="2" s="1"/>
  <c r="L39" i="2" s="1"/>
  <c r="Q41" i="1"/>
  <c r="Q62" i="1"/>
  <c r="R62" i="1" s="1"/>
  <c r="S62" i="1" s="1"/>
  <c r="K61" i="2" s="1"/>
  <c r="L61" i="2" s="1"/>
  <c r="Q63" i="1"/>
  <c r="R63" i="1" s="1"/>
  <c r="S63" i="1" s="1"/>
  <c r="Q28" i="1"/>
  <c r="Q15" i="1"/>
  <c r="Q21" i="1"/>
  <c r="Q22" i="1"/>
  <c r="Q26" i="1"/>
  <c r="Q50" i="1"/>
  <c r="R50" i="1" s="1"/>
  <c r="S50" i="1" s="1"/>
  <c r="K49" i="2" s="1"/>
  <c r="L49" i="2" s="1"/>
  <c r="Q51" i="1"/>
  <c r="R51" i="1" s="1"/>
  <c r="S51" i="1" s="1"/>
  <c r="K50" i="2" s="1"/>
  <c r="L50" i="2" s="1"/>
  <c r="Q24" i="1"/>
  <c r="Q23" i="1"/>
  <c r="Q18" i="1"/>
  <c r="Q52" i="1"/>
  <c r="R52" i="1" s="1"/>
  <c r="S52" i="1" s="1"/>
  <c r="K51" i="2" s="1"/>
  <c r="L51" i="2" s="1"/>
  <c r="Q16" i="1"/>
  <c r="Q17" i="1"/>
  <c r="Q43" i="1"/>
  <c r="R43" i="1" s="1"/>
  <c r="S43" i="1" s="1"/>
  <c r="K42" i="2" s="1"/>
  <c r="L42" i="2" s="1"/>
  <c r="Q38" i="1"/>
  <c r="R38" i="1" s="1"/>
  <c r="S38" i="1" s="1"/>
  <c r="K37" i="2" s="1"/>
  <c r="L37" i="2" s="1"/>
  <c r="Q25" i="1"/>
  <c r="Q20" i="1"/>
  <c r="Q30" i="1"/>
  <c r="R32" i="1"/>
  <c r="S32" i="1" s="1"/>
  <c r="K31" i="2" s="1"/>
  <c r="L31" i="2" s="1"/>
  <c r="R44" i="1"/>
  <c r="S44" i="1" s="1"/>
  <c r="K43" i="2" s="1"/>
  <c r="L43" i="2" s="1"/>
  <c r="R34" i="1"/>
  <c r="S34" i="1" s="1"/>
  <c r="K33" i="2" s="1"/>
  <c r="L33" i="2" s="1"/>
  <c r="R35" i="1"/>
  <c r="S35" i="1" s="1"/>
  <c r="K34" i="2" s="1"/>
  <c r="L34" i="2" s="1"/>
  <c r="R41" i="1"/>
  <c r="S41" i="1" s="1"/>
  <c r="K40" i="2" s="1"/>
  <c r="L40" i="2" s="1"/>
  <c r="R67" i="1"/>
  <c r="S67" i="1" s="1"/>
  <c r="K66" i="2" s="1"/>
  <c r="L66" i="2" s="1"/>
  <c r="R56" i="1"/>
  <c r="S56" i="1" s="1"/>
  <c r="K55" i="2" s="1"/>
  <c r="L55" i="2" s="1"/>
  <c r="R57" i="1"/>
  <c r="S57" i="1" s="1"/>
  <c r="K56" i="2" s="1"/>
  <c r="L56" i="2" s="1"/>
  <c r="R55" i="1"/>
  <c r="S55" i="1" s="1"/>
  <c r="K54" i="2" s="1"/>
  <c r="L54" i="2" s="1"/>
  <c r="R37" i="1"/>
  <c r="S37" i="1" s="1"/>
  <c r="K36" i="2" s="1"/>
  <c r="L36" i="2" s="1"/>
  <c r="R39" i="1"/>
  <c r="S39" i="1" s="1"/>
  <c r="K38" i="2" s="1"/>
  <c r="L38" i="2" s="1"/>
  <c r="R46" i="1"/>
  <c r="S46" i="1" s="1"/>
  <c r="K45" i="2" s="1"/>
  <c r="L45" i="2" s="1"/>
  <c r="R36" i="1"/>
  <c r="S36" i="1" s="1"/>
  <c r="K35" i="2" s="1"/>
  <c r="L35" i="2" s="1"/>
  <c r="R33" i="1"/>
  <c r="S33" i="1" s="1"/>
  <c r="K32" i="2" s="1"/>
  <c r="L32" i="2" s="1"/>
  <c r="R31" i="1"/>
  <c r="S31" i="1" s="1"/>
  <c r="K30" i="2" s="1"/>
  <c r="L30" i="2" s="1"/>
  <c r="R47" i="1"/>
  <c r="K9" i="3" a="1"/>
  <c r="J9" i="3" a="1"/>
  <c r="L9" i="3" a="1"/>
  <c r="M9" i="3" a="1"/>
  <c r="J22" i="3" a="1"/>
  <c r="K10" i="3" a="1"/>
  <c r="I104" i="2"/>
  <c r="J106" i="2"/>
  <c r="I106" i="2"/>
  <c r="J107" i="2"/>
  <c r="I107" i="2"/>
  <c r="I101" i="2"/>
  <c r="J101" i="2"/>
  <c r="J105" i="2"/>
  <c r="I105" i="2"/>
  <c r="W62" i="1" l="1"/>
  <c r="X62" i="1" s="1"/>
  <c r="K62" i="2"/>
  <c r="L62" i="2" s="1"/>
  <c r="W63" i="1"/>
  <c r="X63" i="1" s="1"/>
  <c r="W50" i="1"/>
  <c r="X50" i="1" s="1"/>
  <c r="W51" i="1"/>
  <c r="X51" i="1" s="1"/>
  <c r="W54" i="1"/>
  <c r="X54" i="1" s="1"/>
  <c r="W67" i="1"/>
  <c r="X67" i="1" s="1"/>
  <c r="W56" i="1"/>
  <c r="X56" i="1" s="1"/>
  <c r="W57" i="1"/>
  <c r="X57" i="1" s="1"/>
  <c r="W55" i="1"/>
  <c r="X55" i="1" s="1"/>
  <c r="W52" i="1"/>
  <c r="X52" i="1" s="1"/>
  <c r="W53" i="1"/>
  <c r="X53" i="1" s="1"/>
  <c r="W37" i="1"/>
  <c r="X37" i="1" s="1"/>
  <c r="W41" i="1"/>
  <c r="X41" i="1" s="1"/>
  <c r="W40" i="1"/>
  <c r="X40" i="1" s="1"/>
  <c r="W46" i="1"/>
  <c r="X46" i="1" s="1"/>
  <c r="W42" i="1"/>
  <c r="X42" i="1" s="1"/>
  <c r="W38" i="1"/>
  <c r="X38" i="1" s="1"/>
  <c r="W39" i="1"/>
  <c r="X39" i="1" s="1"/>
  <c r="W45" i="1"/>
  <c r="X45" i="1" s="1"/>
  <c r="W31" i="1"/>
  <c r="X31" i="1" s="1"/>
  <c r="W34" i="1"/>
  <c r="X34" i="1" s="1"/>
  <c r="W33" i="1"/>
  <c r="X33" i="1" s="1"/>
  <c r="W32" i="1"/>
  <c r="X32" i="1" s="1"/>
  <c r="S47" i="1"/>
  <c r="K46" i="2" s="1"/>
  <c r="L46" i="2" s="1"/>
  <c r="W44" i="1"/>
  <c r="X44" i="1" s="1"/>
  <c r="W49" i="1"/>
  <c r="X49" i="1" s="1"/>
  <c r="W43" i="1"/>
  <c r="X43" i="1" s="1"/>
  <c r="W36" i="1"/>
  <c r="X36" i="1" s="1"/>
  <c r="W35" i="1"/>
  <c r="X35" i="1" s="1"/>
  <c r="J10" i="3" a="1"/>
  <c r="L10" i="3" a="1"/>
  <c r="M10" i="3" a="1"/>
  <c r="I2" i="3" a="1"/>
  <c r="I7" i="3" a="1"/>
  <c r="I4" i="3" a="1"/>
  <c r="W47" i="1" l="1"/>
  <c r="X47" i="1" s="1"/>
  <c r="W48" i="1"/>
  <c r="X48" i="1" s="1"/>
  <c r="I5" i="3" a="1"/>
  <c r="I3" i="3" a="1"/>
  <c r="I6" i="3" a="1"/>
  <c r="V73" i="1"/>
  <c r="W73" i="1" s="1"/>
  <c r="X73" i="1" s="1"/>
  <c r="G19" i="3" a="1"/>
  <c r="I26" i="3" a="1"/>
  <c r="H18" i="3" a="1"/>
  <c r="H11" i="3" a="1"/>
  <c r="G17" i="3" a="1"/>
  <c r="G15" i="3" a="1"/>
  <c r="G10" i="3" a="1"/>
  <c r="O10" i="3" s="1"/>
  <c r="H13" i="3" a="1"/>
  <c r="H14" i="3" a="1"/>
  <c r="G12" i="3" a="1"/>
  <c r="O12" i="3" s="1"/>
  <c r="O78" i="1" s="1"/>
  <c r="K78" i="1" s="1"/>
  <c r="P78" i="1" s="1"/>
  <c r="Q78" i="1" s="1"/>
  <c r="L74" i="2" s="1"/>
  <c r="I19" i="3" a="1"/>
  <c r="G16" i="3" a="1"/>
  <c r="O16" i="3" s="1"/>
  <c r="H17" i="3" a="1"/>
  <c r="G13" i="3" a="1"/>
  <c r="O13" i="3" s="1"/>
  <c r="I15" i="3" a="1"/>
  <c r="G27" i="3" a="1"/>
  <c r="H15" i="3" a="1"/>
  <c r="G21" i="3" a="1"/>
  <c r="I22" i="3" a="1"/>
  <c r="I12" i="3" a="1"/>
  <c r="H27" i="3" a="1"/>
  <c r="I10" i="3" a="1"/>
  <c r="G26" i="3" a="1"/>
  <c r="O26" i="3" s="1"/>
  <c r="I9" i="3" a="1"/>
  <c r="I21" i="3" a="1"/>
  <c r="H25" i="3" a="1"/>
  <c r="G18" i="3" a="1"/>
  <c r="I13" i="3" a="1"/>
  <c r="G8" i="3" a="1"/>
  <c r="O8" i="3" s="1"/>
  <c r="H26" i="3" a="1"/>
  <c r="G9" i="3" a="1"/>
  <c r="O9" i="3" s="1"/>
  <c r="I24" i="3" a="1"/>
  <c r="G25" i="3" a="1"/>
  <c r="O25" i="3" s="1"/>
  <c r="H9" i="3" a="1"/>
  <c r="I17" i="3" a="1"/>
  <c r="I20" i="3" a="1"/>
  <c r="I23" i="3" a="1"/>
  <c r="H24" i="3" a="1"/>
  <c r="G22" i="3" a="1"/>
  <c r="G24" i="3" a="1"/>
  <c r="I11" i="3" a="1"/>
  <c r="H10" i="3" a="1"/>
  <c r="H21" i="3" a="1"/>
  <c r="I25" i="3" a="1"/>
  <c r="H23" i="3" a="1"/>
  <c r="G14" i="3" a="1"/>
  <c r="O14" i="3" s="1"/>
  <c r="H16" i="3" a="1"/>
  <c r="I27" i="3" a="1"/>
  <c r="G11" i="3" a="1"/>
  <c r="H20" i="3" a="1"/>
  <c r="I16" i="3" a="1"/>
  <c r="H19" i="3" a="1"/>
  <c r="I18" i="3" a="1"/>
  <c r="H12" i="3" a="1"/>
  <c r="G20" i="3" a="1"/>
  <c r="O20" i="3" s="1"/>
  <c r="H22" i="3" a="1"/>
  <c r="I14" i="3" a="1"/>
  <c r="I8" i="3" a="1"/>
  <c r="H8" i="3" a="1"/>
  <c r="G23" i="3" a="1"/>
  <c r="O23" i="3" s="1"/>
  <c r="H3" i="3" a="1"/>
  <c r="G4" i="3" a="1"/>
  <c r="G3" i="3" a="1"/>
  <c r="H6" i="3" a="1"/>
  <c r="H4" i="3" a="1"/>
  <c r="G6" i="3" a="1"/>
  <c r="G7" i="3" a="1"/>
  <c r="Q2" i="3"/>
  <c r="H7" i="3" a="1"/>
  <c r="H5" i="3" a="1"/>
  <c r="H2" i="3" a="1"/>
  <c r="G5" i="3" a="1"/>
  <c r="T28" i="1" l="1" a="1"/>
  <c r="U28" i="1" s="1"/>
  <c r="V28" i="1" s="1"/>
  <c r="O21" i="3"/>
  <c r="T17" i="1" a="1"/>
  <c r="U17" i="1" s="1"/>
  <c r="V17" i="1" s="1"/>
  <c r="T23" i="1" a="1"/>
  <c r="U23" i="1" s="1"/>
  <c r="V23" i="1" s="1"/>
  <c r="O27" i="3"/>
  <c r="T26" i="1" a="1"/>
  <c r="U26" i="1" s="1"/>
  <c r="V26" i="1" s="1"/>
  <c r="O5" i="3"/>
  <c r="V15" i="1"/>
  <c r="K74" i="2"/>
  <c r="W78" i="1"/>
  <c r="X78" i="1" s="1"/>
  <c r="P98" i="1"/>
  <c r="O24" i="3"/>
  <c r="Q17" i="3"/>
  <c r="O17" i="3"/>
  <c r="N23" i="1" s="1"/>
  <c r="V18" i="1"/>
  <c r="N18" i="1"/>
  <c r="O18" i="1" s="1"/>
  <c r="P18" i="1" s="1"/>
  <c r="V22" i="1"/>
  <c r="Q16" i="3"/>
  <c r="Q9" i="3"/>
  <c r="Q5" i="3"/>
  <c r="Q21" i="3"/>
  <c r="Q27" i="3"/>
  <c r="N30" i="1"/>
  <c r="Q26" i="3"/>
  <c r="N29" i="1"/>
  <c r="Q24" i="3"/>
  <c r="Q25" i="3"/>
  <c r="Q23" i="3"/>
  <c r="Q22" i="3"/>
  <c r="Q20" i="3"/>
  <c r="Q19" i="3"/>
  <c r="Q18" i="3"/>
  <c r="Q15" i="3"/>
  <c r="N22" i="1"/>
  <c r="Q14" i="3"/>
  <c r="Q13" i="3"/>
  <c r="N21" i="1"/>
  <c r="Q4" i="3"/>
  <c r="N17" i="1"/>
  <c r="O17" i="1" s="1"/>
  <c r="P17" i="1" s="1"/>
  <c r="Q8" i="3"/>
  <c r="Q12" i="3"/>
  <c r="N20" i="1"/>
  <c r="Q3" i="3"/>
  <c r="Q7" i="3"/>
  <c r="N16" i="1"/>
  <c r="O16" i="1" s="1"/>
  <c r="P16" i="1" s="1"/>
  <c r="Q11" i="3"/>
  <c r="Q6" i="3"/>
  <c r="N19" i="1"/>
  <c r="O19" i="1" s="1"/>
  <c r="P19" i="1" s="1"/>
  <c r="Q10" i="3"/>
  <c r="O29" i="1" l="1"/>
  <c r="P29" i="1" s="1"/>
  <c r="O23" i="1"/>
  <c r="P23" i="1" s="1"/>
  <c r="O21" i="1"/>
  <c r="P21" i="1" s="1"/>
  <c r="O22" i="1"/>
  <c r="P22" i="1" s="1"/>
  <c r="O30" i="1"/>
  <c r="P30" i="1" s="1"/>
  <c r="O20" i="1"/>
  <c r="P20" i="1" s="1"/>
  <c r="N15" i="1"/>
  <c r="O15" i="1" s="1"/>
  <c r="P15" i="1" s="1"/>
  <c r="N26" i="1"/>
  <c r="N24" i="1"/>
  <c r="N28" i="1"/>
  <c r="N27" i="1"/>
  <c r="O27" i="1" s="1"/>
  <c r="P27" i="1" s="1"/>
  <c r="N25" i="1"/>
  <c r="R16" i="1"/>
  <c r="S16" i="1" s="1"/>
  <c r="R18" i="1"/>
  <c r="S18" i="1" s="1"/>
  <c r="K17" i="2" s="1"/>
  <c r="L17" i="2" s="1"/>
  <c r="W22" i="1"/>
  <c r="X22" i="1" s="1"/>
  <c r="W21" i="1"/>
  <c r="X21" i="1" s="1"/>
  <c r="R17" i="1"/>
  <c r="S17" i="1" s="1"/>
  <c r="K16" i="2" s="1"/>
  <c r="L16" i="2" s="1"/>
  <c r="R20" i="1" l="1"/>
  <c r="S20" i="1" s="1"/>
  <c r="K19" i="2" s="1"/>
  <c r="L19" i="2" s="1"/>
  <c r="R30" i="1"/>
  <c r="S30" i="1" s="1"/>
  <c r="K29" i="2" s="1"/>
  <c r="L29" i="2" s="1"/>
  <c r="R22" i="1"/>
  <c r="S22" i="1" s="1"/>
  <c r="K21" i="2" s="1"/>
  <c r="L21" i="2" s="1"/>
  <c r="R21" i="1"/>
  <c r="S21" i="1" s="1"/>
  <c r="K20" i="2" s="1"/>
  <c r="L20" i="2" s="1"/>
  <c r="R23" i="1"/>
  <c r="S23" i="1" s="1"/>
  <c r="K22" i="2" s="1"/>
  <c r="L22" i="2" s="1"/>
  <c r="R29" i="1"/>
  <c r="S29" i="1" s="1"/>
  <c r="K28" i="2" s="1"/>
  <c r="L28" i="2" s="1"/>
  <c r="W16" i="1"/>
  <c r="X16" i="1" s="1"/>
  <c r="K15" i="2"/>
  <c r="L15" i="2" s="1"/>
  <c r="S19" i="1"/>
  <c r="K18" i="2" s="1"/>
  <c r="L18" i="2" s="1"/>
  <c r="R19" i="1"/>
  <c r="W29" i="1"/>
  <c r="X29" i="1" s="1"/>
  <c r="W23" i="1"/>
  <c r="X23" i="1" s="1"/>
  <c r="W30" i="1"/>
  <c r="X30" i="1" s="1"/>
  <c r="W20" i="1"/>
  <c r="X20" i="1" s="1"/>
  <c r="W17" i="1"/>
  <c r="X17" i="1" s="1"/>
  <c r="W19" i="1"/>
  <c r="X19" i="1" s="1"/>
  <c r="O26" i="1"/>
  <c r="P26" i="1" s="1"/>
  <c r="O28" i="1"/>
  <c r="P28" i="1" s="1"/>
  <c r="O24" i="1"/>
  <c r="P24" i="1" s="1"/>
  <c r="O25" i="1"/>
  <c r="P25" i="1" s="1"/>
  <c r="R27" i="1"/>
  <c r="S27" i="1" s="1"/>
  <c r="K26" i="2" s="1"/>
  <c r="L26" i="2" s="1"/>
  <c r="W18" i="1"/>
  <c r="X18" i="1" s="1"/>
  <c r="R26" i="1" l="1"/>
  <c r="S26" i="1" s="1"/>
  <c r="K25" i="2" s="1"/>
  <c r="L25" i="2" s="1"/>
  <c r="R24" i="1"/>
  <c r="S24" i="1" s="1"/>
  <c r="K23" i="2" s="1"/>
  <c r="L23" i="2" s="1"/>
  <c r="R28" i="1"/>
  <c r="S28" i="1" s="1"/>
  <c r="K27" i="2" s="1"/>
  <c r="L27" i="2" s="1"/>
  <c r="W24" i="1"/>
  <c r="X24" i="1" s="1"/>
  <c r="R25" i="1"/>
  <c r="S25" i="1" s="1"/>
  <c r="K24" i="2" s="1"/>
  <c r="L24" i="2" s="1"/>
  <c r="W26" i="1"/>
  <c r="X26" i="1" s="1"/>
  <c r="W27" i="1"/>
  <c r="X27" i="1" s="1"/>
  <c r="R15" i="1"/>
  <c r="S15" i="1" s="1"/>
  <c r="W15" i="1" s="1"/>
  <c r="X15" i="1" s="1"/>
  <c r="P68" i="1" l="1"/>
  <c r="H108" i="1" s="1"/>
  <c r="W28" i="1"/>
  <c r="X28" i="1" s="1"/>
  <c r="W25" i="1"/>
  <c r="X25" i="1" s="1"/>
  <c r="K14" i="2"/>
  <c r="L14" i="2" s="1"/>
  <c r="G108" i="1" l="1"/>
  <c r="J103" i="2"/>
  <c r="J109" i="2" s="1"/>
  <c r="G114" i="1" l="1"/>
  <c r="I103" i="2"/>
  <c r="I109" i="2" s="1"/>
  <c r="H114" i="1"/>
  <c r="D118" i="1" s="1"/>
  <c r="D113" i="2" s="1"/>
  <c r="S68" i="1"/>
  <c r="Q68" i="1"/>
  <c r="R68" i="1" s="1"/>
  <c r="H115" i="1" l="1"/>
  <c r="J110" i="2" s="1"/>
  <c r="G116" i="1"/>
  <c r="I111" i="2" s="1"/>
  <c r="G115" i="1" l="1"/>
  <c r="I110"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Guest User</author>
    <author>tc={D0E5769E-9365-4F62-8D08-2EDB0083B3B4}</author>
    <author>tc={1E1AF77B-43C3-4DD0-A67B-6B76D23235AD}</author>
    <author>tc={E226F300-ACEC-406D-8AC8-C7347C073905}</author>
    <author>tc={410AC98B-6525-463E-8BD8-6A0803BD99EA}</author>
  </authors>
  <commentList>
    <comment ref="E1" authorId="0" shapeId="0" xr:uid="{C9C64E01-06EC-4E6A-A6F8-9CDF498B62F5}">
      <text>
        <r>
          <rPr>
            <sz val="11"/>
            <color theme="1"/>
            <rFont val="Calibri"/>
            <family val="2"/>
          </rPr>
          <t>Unknown User:
Herbicide, Insecticide, Fungucide</t>
        </r>
      </text>
    </comment>
    <comment ref="J23" authorId="1" shapeId="0" xr:uid="{D0E5769E-9365-4F62-8D08-2EDB0083B3B4}">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Labeled in AZ/CA only
Reply:
    @J. Nolfo  should this be removed from the Golf Fall Solutions Flyer
Reply:
    Include in Golf Fall.</t>
      </text>
    </comment>
    <comment ref="J30" authorId="2" shapeId="0" xr:uid="{1E1AF77B-43C3-4DD0-A67B-6B76D23235AD}">
      <text>
        <t>[Threaded comment]
Your version of Excel allows you to read this threaded comment; however, any edits to it will get removed if the file is opened in a newer version of Excel. Learn more: https://go.microsoft.com/fwlink/?linkid=870924
Comment:
    Sales count towards purchase tier, but will not be rebated</t>
      </text>
    </comment>
    <comment ref="J31" authorId="3" shapeId="0" xr:uid="{E226F300-ACEC-406D-8AC8-C7347C073905}">
      <text>
        <t>[Threaded comment]
Your version of Excel allows you to read this threaded comment; however, any edits to it will get removed if the file is opened in a newer version of Excel. Learn more: https://go.microsoft.com/fwlink/?linkid=870924
Comment:
    Sales count towards purchase tier, but not rebated</t>
      </text>
    </comment>
    <comment ref="J104" authorId="4" shapeId="0" xr:uid="{410AC98B-6525-463E-8BD8-6A0803BD99EA}">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@J. Nolfo  are these prices flip flopped?
Reply:
    Fixed</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<sst xmlns="http://schemas.openxmlformats.org/spreadsheetml/2006/main" count="1409" uniqueCount="330">
  <si>
    <t xml:space="preserve">     2026 Fall Solutions Calculator                  </t>
  </si>
  <si>
    <t>Additional Rebates &amp; Bonus Unlocks:</t>
  </si>
  <si>
    <t>NAME YOUR DRAFT ORDER HERE:</t>
  </si>
  <si>
    <t>Spend Requirement:</t>
  </si>
  <si>
    <t>$5k+</t>
  </si>
  <si>
    <t>$22k+</t>
  </si>
  <si>
    <t>$55k+</t>
  </si>
  <si>
    <t>$110k+</t>
  </si>
  <si>
    <t>$165k+</t>
  </si>
  <si>
    <r>
      <rPr>
        <b/>
        <sz val="10"/>
        <color rgb="FF000000"/>
        <rFont val="Calibri"/>
        <family val="2"/>
      </rPr>
      <t>Description</t>
    </r>
    <r>
      <rPr>
        <sz val="10"/>
        <color rgb="FF000000"/>
        <rFont val="Calibri"/>
        <family val="2"/>
      </rPr>
      <t xml:space="preserve">: </t>
    </r>
  </si>
  <si>
    <t>Tier Rebate:</t>
  </si>
  <si>
    <r>
      <rPr>
        <b/>
        <sz val="10"/>
        <color rgb="FF000000"/>
        <rFont val="Calibri"/>
        <family val="2"/>
      </rPr>
      <t>Dist/DSR</t>
    </r>
    <r>
      <rPr>
        <sz val="10"/>
        <color rgb="FF000000"/>
        <rFont val="Calibri"/>
        <family val="2"/>
      </rPr>
      <t xml:space="preserve">: </t>
    </r>
  </si>
  <si>
    <t>Envu Horizon ID:</t>
  </si>
  <si>
    <t>Durentis Insecticide + Specticle FLO Duo Rebate</t>
  </si>
  <si>
    <t>Product:</t>
  </si>
  <si>
    <r>
      <t xml:space="preserve">Stressgard 
</t>
    </r>
    <r>
      <rPr>
        <i/>
        <sz val="10"/>
        <color rgb="FF000000"/>
        <rFont val="Calibri"/>
        <family val="2"/>
      </rPr>
      <t>(&gt;$10k)</t>
    </r>
  </si>
  <si>
    <r>
      <t xml:space="preserve">Serata
</t>
    </r>
    <r>
      <rPr>
        <i/>
        <sz val="10"/>
        <color rgb="FF000000"/>
        <rFont val="Calibri"/>
        <family val="2"/>
      </rPr>
      <t>(8 unit min.)</t>
    </r>
  </si>
  <si>
    <t>Resilia
(4 unit min)</t>
  </si>
  <si>
    <r>
      <rPr>
        <b/>
        <sz val="10"/>
        <color rgb="FF000000"/>
        <rFont val="Calibri"/>
        <family val="2"/>
      </rPr>
      <t>Last Updated</t>
    </r>
    <r>
      <rPr>
        <sz val="10"/>
        <color rgb="FF000000"/>
        <rFont val="Calibri"/>
        <family val="2"/>
      </rPr>
      <t xml:space="preserve">: </t>
    </r>
  </si>
  <si>
    <r>
      <rPr>
        <b/>
        <sz val="10"/>
        <color rgb="FF000000"/>
        <rFont val="Calibri"/>
        <family val="2"/>
      </rPr>
      <t>Created For</t>
    </r>
    <r>
      <rPr>
        <sz val="10"/>
        <color rgb="FF000000"/>
        <rFont val="Calibri"/>
        <family val="2"/>
      </rPr>
      <t xml:space="preserve">: </t>
    </r>
  </si>
  <si>
    <t>October Bonus:</t>
  </si>
  <si>
    <t>YES</t>
  </si>
  <si>
    <t>Spend &lt; $55k = 1.0%;   Spend &gt; $55k =  2.0%</t>
  </si>
  <si>
    <t>ZM ADD</t>
  </si>
  <si>
    <t>HIDE</t>
  </si>
  <si>
    <t>SKU Code</t>
  </si>
  <si>
    <t>RELEVANT</t>
  </si>
  <si>
    <t>REBATE FINDER. (Minimum Program Purchase to receive rebates is $5,000)</t>
  </si>
  <si>
    <t>PRODUCT NAME</t>
  </si>
  <si>
    <t>UNIT SIZE</t>
  </si>
  <si>
    <t>CATEGORY</t>
  </si>
  <si>
    <t># UNITS</t>
  </si>
  <si>
    <t>ORIGINAL PRICE</t>
  </si>
  <si>
    <t>INSEASON SUBTOTAL</t>
  </si>
  <si>
    <t>EOP PRICE/
UNIT*</t>
  </si>
  <si>
    <r>
      <t xml:space="preserve">INVOICE SUBTOTAL
 </t>
    </r>
    <r>
      <rPr>
        <sz val="8"/>
        <color rgb="FF000000"/>
        <rFont val="Calibri"/>
        <family val="2"/>
      </rPr>
      <t>must be a minimum of $5,000 across NOW/FALL program  to receive  rebates</t>
    </r>
  </si>
  <si>
    <t>REBATE TIERS AVAILABLE</t>
  </si>
  <si>
    <t>REBATE TIERS QUALIFIED</t>
  </si>
  <si>
    <t>QUALIFIED REBATE PER UNIT</t>
  </si>
  <si>
    <t>VOL BUY 
REBATES**†</t>
  </si>
  <si>
    <t>ENVU EXTRAS + TIER REBATES</t>
  </si>
  <si>
    <t>NET PRICE/UNIT 
(all NOW rebates)</t>
  </si>
  <si>
    <t>TOTAL AFTER REBATE</t>
  </si>
  <si>
    <r>
      <t>USE RATE / 1,000 FT</t>
    </r>
    <r>
      <rPr>
        <b/>
        <vertAlign val="superscript"/>
        <sz val="9"/>
        <color rgb="FF000000"/>
        <rFont val="Calibri"/>
        <family val="2"/>
      </rPr>
      <t>2</t>
    </r>
  </si>
  <si>
    <t>USE RATE / ACRE</t>
  </si>
  <si>
    <t>TOTAL ACRES TREATED</t>
  </si>
  <si>
    <t>COST/ ACRE</t>
  </si>
  <si>
    <r>
      <t>COST/ 1000 FT</t>
    </r>
    <r>
      <rPr>
        <b/>
        <vertAlign val="superscript"/>
        <sz val="9"/>
        <color rgb="FF000000"/>
        <rFont val="Calibri"/>
        <family val="2"/>
      </rPr>
      <t>2</t>
    </r>
  </si>
  <si>
    <t>D00000903-1</t>
  </si>
  <si>
    <t>D00000903-2</t>
  </si>
  <si>
    <t>D00000903-3</t>
  </si>
  <si>
    <t>D00000907</t>
  </si>
  <si>
    <t>D00000624</t>
  </si>
  <si>
    <t>D00000623</t>
  </si>
  <si>
    <t xml:space="preserve">D00001204 </t>
  </si>
  <si>
    <t>D00000911</t>
  </si>
  <si>
    <t>D00000914</t>
  </si>
  <si>
    <t>D00001373</t>
  </si>
  <si>
    <t>D00000934</t>
  </si>
  <si>
    <t>D00000935</t>
  </si>
  <si>
    <t>D00001379</t>
  </si>
  <si>
    <t>D00000944</t>
  </si>
  <si>
    <t>D00001272-1</t>
  </si>
  <si>
    <t>D00001272-2</t>
  </si>
  <si>
    <t>D00001272-3</t>
  </si>
  <si>
    <t>D00000965</t>
  </si>
  <si>
    <t>D00000125</t>
  </si>
  <si>
    <t>D00000986-1</t>
  </si>
  <si>
    <t>D00000986-2</t>
  </si>
  <si>
    <t>D00000986-3</t>
  </si>
  <si>
    <t>D00001390</t>
  </si>
  <si>
    <t>D00001488</t>
  </si>
  <si>
    <t>D00000991</t>
  </si>
  <si>
    <t>D00000990-1</t>
  </si>
  <si>
    <t>D00000990-2</t>
  </si>
  <si>
    <t>D00000990-3</t>
  </si>
  <si>
    <t>D00000990-4</t>
  </si>
  <si>
    <t>D00000992</t>
  </si>
  <si>
    <t>D00000998</t>
  </si>
  <si>
    <t>NON-AGENCY PRODUCTS</t>
  </si>
  <si>
    <t>MINIMUM QUANTITY REQUIREMENT FOR REBATE</t>
  </si>
  <si>
    <t>PRICE / 
UNIT</t>
  </si>
  <si>
    <t>REDEMPTION VALUE</t>
  </si>
  <si>
    <t>REBATE PER UNIT</t>
  </si>
  <si>
    <t>SUBTOTAL BEFORE REBATE</t>
  </si>
  <si>
    <t>IN SEASON SUBTOTAL</t>
  </si>
  <si>
    <t>IN SEASON SUBTOTAL AFTER REBATE</t>
  </si>
  <si>
    <t>SUBTOTAL AFTER REBATE</t>
  </si>
  <si>
    <r>
      <t xml:space="preserve">NET PRICE/UNIT
</t>
    </r>
    <r>
      <rPr>
        <b/>
        <i/>
        <sz val="9"/>
        <color rgb="FF000000"/>
        <rFont val="Calibri"/>
        <family val="2"/>
      </rPr>
      <t>(after rebate)</t>
    </r>
  </si>
  <si>
    <t>COST/ 1000 FT2</t>
  </si>
  <si>
    <t>79893817</t>
  </si>
  <si>
    <t>NA</t>
  </si>
  <si>
    <t>NA-1</t>
  </si>
  <si>
    <t>D00001040</t>
  </si>
  <si>
    <t>D00001041</t>
  </si>
  <si>
    <t>D00000961</t>
  </si>
  <si>
    <t>D00000962</t>
  </si>
  <si>
    <t>D00000913</t>
  </si>
  <si>
    <t>D00001012</t>
  </si>
  <si>
    <t>Summary</t>
  </si>
  <si>
    <t>Summary is provided as an estimate only. See program rules and conditions.</t>
  </si>
  <si>
    <t>Estimated Total Before Off Invoice Discounts:</t>
  </si>
  <si>
    <t>*Pricing for all states except CA or WA. Must be purchased on a single invoice to receive volume discount price. Purchase tier amount credited for non-agency products is predetermined by Envu. **Must be registered in Envu Horizon and accept current Terms and Conditions to participate. ***Customer Envu Horizon Early Order Program cumulative purchases (Aug. 1 - Dec. 4, 2026) must be $5,000 or more to qualify for program rebates. ++Specticle® FLO is not eligible for Envu Extras or tier rebates. New members signed up before Dec. 31, 2026, will receive 2026 Envu Horizon Early Order Program rebates. All rebates for 2026 Envu Horizon Early Order Program will be paid in points, which can be redeemed for thousands of catalog items, distributor credits and/or company checks (no checks can be issued to a third party). All Products must be invoiced between Oct. 1 and Dec. 4, 2026, to qualify. Rebate calculations will be based on the date of actual product invoice and calculator tools are provided for estimation purposes only. Rebates will only be paid or delivered to the company or name listed on the invoice. Please allow for rebates to be fulfilled by June 30, 2027. End users are only eligible for one Envu incentive program on these invoiced products. Resale of product(s) purchased within this program will not qualify for rebates. If questions arise, please contact Envu Horizon Headquarters at 1-888-456-6464 or email info@envuhorizon.com. Envu reserves the right to modify any portion thereof, or discontinue this program without prior notice.
ALWAYS READ AND FOLLOW LABEL INSTRUCTIONS. Environmental Science U.S. LLC, 5000 CentreGreen Way, Suite 400, Cary, NC 27513. For additional product information, call toll-free 1-800-331-2867. www.envu.com. Not all products are registered in all states. Envu® and the Envu logo are trademarks owned by Environmental Science U.S. LLC or one of its affiliates. Other trademarks are the property of their respective owners. ©2026 Environmental Science U.S. LLC.</t>
  </si>
  <si>
    <t>Estimated Invoice Total:</t>
  </si>
  <si>
    <t>Estimated Off-Invoice Discount:</t>
  </si>
  <si>
    <t>Volume Buy Rebate, Envu Extras &amp; Tier Rebates:</t>
  </si>
  <si>
    <t>Estimated Total Volume Buy Rebate &amp; Durentis Insecticide + Specticle FLO Duo Rebate:</t>
  </si>
  <si>
    <t>Estimated Tier Rebate Amount:</t>
  </si>
  <si>
    <t>Estimated Stressgard® Rebate ($10k+):</t>
  </si>
  <si>
    <t>Estimated Serata Rebate (8+ units):</t>
  </si>
  <si>
    <t>Estimated Resilia Rebate (4+ units):</t>
  </si>
  <si>
    <t>October Bonus</t>
  </si>
  <si>
    <t>Estimated Total Rebate:</t>
  </si>
  <si>
    <t xml:space="preserve">Estimated Total Savings (Rebates + Off Invoice Discounts):  </t>
  </si>
  <si>
    <t>Estimated Net Total after Rebates &amp; Discounts:</t>
  </si>
  <si>
    <t/>
  </si>
  <si>
    <r>
      <rPr>
        <b/>
        <sz val="10"/>
        <color rgb="FF000000"/>
        <rFont val="Calibri"/>
        <family val="2"/>
      </rPr>
      <t>Distributor/DSR</t>
    </r>
    <r>
      <rPr>
        <sz val="10"/>
        <color rgb="FF000000"/>
        <rFont val="Calibri"/>
        <family val="2"/>
      </rPr>
      <t xml:space="preserve">: </t>
    </r>
  </si>
  <si>
    <t xml:space="preserve">Envu Horizon ID: </t>
  </si>
  <si>
    <t>Page 1 of 1</t>
  </si>
  <si>
    <t>SKU CODE</t>
  </si>
  <si>
    <t>VOLUME 
BUY MET</t>
  </si>
  <si>
    <t>Category</t>
  </si>
  <si>
    <t>IN-SEASON PRICE/UNIT</t>
  </si>
  <si>
    <t>EOP PRICE/UNIT</t>
  </si>
  <si>
    <r>
      <t xml:space="preserve">SUBTOTAL
</t>
    </r>
    <r>
      <rPr>
        <b/>
        <sz val="8"/>
        <color rgb="FF000000"/>
        <rFont val="Calibri"/>
        <family val="2"/>
      </rPr>
      <t>(before rebates &amp; discounts)</t>
    </r>
  </si>
  <si>
    <r>
      <t xml:space="preserve">SUBTOTAL
</t>
    </r>
    <r>
      <rPr>
        <b/>
        <sz val="8"/>
        <color rgb="FF000000"/>
        <rFont val="Calibri"/>
        <family val="2"/>
      </rPr>
      <t>(after rebates &amp; discounts)</t>
    </r>
  </si>
  <si>
    <r>
      <t xml:space="preserve">NET PRICE/UNIT
</t>
    </r>
    <r>
      <rPr>
        <b/>
        <i/>
        <sz val="8"/>
        <color rgb="FF000000"/>
        <rFont val="Calibri"/>
        <family val="2"/>
      </rPr>
      <t>(after rebate)</t>
    </r>
  </si>
  <si>
    <t>Manufacturer</t>
  </si>
  <si>
    <t>Agency/TT</t>
  </si>
  <si>
    <t>Segment</t>
  </si>
  <si>
    <t>Region</t>
  </si>
  <si>
    <t>Indication</t>
  </si>
  <si>
    <t>Program</t>
  </si>
  <si>
    <t xml:space="preserve">Old Bayer SKU </t>
  </si>
  <si>
    <t>Old Envu SKU</t>
  </si>
  <si>
    <t>SKU</t>
  </si>
  <si>
    <t>Product</t>
  </si>
  <si>
    <t>Size</t>
  </si>
  <si>
    <t>2026 In-Season Price</t>
  </si>
  <si>
    <t>NOW Price</t>
  </si>
  <si>
    <t>In SZN-NOW delta</t>
  </si>
  <si>
    <t>Min Qty</t>
  </si>
  <si>
    <t>Rebate $</t>
  </si>
  <si>
    <t>Final Price</t>
  </si>
  <si>
    <t>CA In-season Price</t>
  </si>
  <si>
    <t>CA NOW Price</t>
  </si>
  <si>
    <t>CA Final Price</t>
  </si>
  <si>
    <t>WA In-season Price</t>
  </si>
  <si>
    <t>WA NOW Price</t>
  </si>
  <si>
    <t>WA Final Price</t>
  </si>
  <si>
    <t>Package Ounces</t>
  </si>
  <si>
    <t>Standard Use Rate (oz/M)</t>
  </si>
  <si>
    <t>Standard Use Rate (oz/Acre)</t>
  </si>
  <si>
    <t>Price/1000 sq ft</t>
  </si>
  <si>
    <t>Price/Acre</t>
  </si>
  <si>
    <t>Total %</t>
  </si>
  <si>
    <t>*cumlative</t>
  </si>
  <si>
    <t>Set</t>
  </si>
  <si>
    <t>Envu</t>
  </si>
  <si>
    <t>TT</t>
  </si>
  <si>
    <t>G</t>
  </si>
  <si>
    <t>NST</t>
  </si>
  <si>
    <t>F</t>
  </si>
  <si>
    <t>EOP</t>
  </si>
  <si>
    <t>26GT™</t>
  </si>
  <si>
    <t>2.5 gal</t>
  </si>
  <si>
    <t>GL</t>
  </si>
  <si>
    <t>N</t>
  </si>
  <si>
    <t>H</t>
  </si>
  <si>
    <t>Acclaim Extra®</t>
  </si>
  <si>
    <t>1 gal</t>
  </si>
  <si>
    <t>16 oz</t>
  </si>
  <si>
    <t>A</t>
  </si>
  <si>
    <t>GLO</t>
  </si>
  <si>
    <t>I</t>
  </si>
  <si>
    <t>EOP/ORN</t>
  </si>
  <si>
    <t>84989509</t>
  </si>
  <si>
    <t>Altus®</t>
  </si>
  <si>
    <t>64 oz</t>
  </si>
  <si>
    <t>1-15</t>
  </si>
  <si>
    <t>16-31</t>
  </si>
  <si>
    <t>32+</t>
  </si>
  <si>
    <t>Banol®</t>
  </si>
  <si>
    <t xml:space="preserve">2.5 gal </t>
  </si>
  <si>
    <t>2+</t>
  </si>
  <si>
    <t>ST</t>
  </si>
  <si>
    <t xml:space="preserve">Blindside® Herbicide </t>
  </si>
  <si>
    <t>0.5 lb</t>
  </si>
  <si>
    <t>Castlon®</t>
  </si>
  <si>
    <t>1+</t>
  </si>
  <si>
    <t>NOW</t>
  </si>
  <si>
    <t>Celsius® WG</t>
  </si>
  <si>
    <t>10 oz</t>
  </si>
  <si>
    <t>16+</t>
  </si>
  <si>
    <t>86773201</t>
  </si>
  <si>
    <t>Celsius® XTRA</t>
  </si>
  <si>
    <t>Chipco® 26019 FLO</t>
  </si>
  <si>
    <t>Chipco® Choice</t>
  </si>
  <si>
    <t>50 lb</t>
  </si>
  <si>
    <t>87276341</t>
  </si>
  <si>
    <t>Chipco® Signature™</t>
  </si>
  <si>
    <t>11 lb</t>
  </si>
  <si>
    <t>1-11</t>
  </si>
  <si>
    <t>12+</t>
  </si>
  <si>
    <t>87348709</t>
  </si>
  <si>
    <t>D00000926</t>
  </si>
  <si>
    <t>Densicor®</t>
  </si>
  <si>
    <t>51 oz</t>
  </si>
  <si>
    <t>1-2</t>
  </si>
  <si>
    <t>3+</t>
  </si>
  <si>
    <t>FMC</t>
  </si>
  <si>
    <t>Dismiss® CA Herbicide</t>
  </si>
  <si>
    <t>6 oz</t>
  </si>
  <si>
    <t>Dismiss® NXT Herbicide</t>
  </si>
  <si>
    <t>60 oz</t>
  </si>
  <si>
    <t>1-3</t>
  </si>
  <si>
    <t>4+</t>
  </si>
  <si>
    <t>Dismiss® South Herbicide</t>
  </si>
  <si>
    <t xml:space="preserve">1 pint </t>
  </si>
  <si>
    <t>Dismiss® Turf Herbicide</t>
  </si>
  <si>
    <t>Durentis® 0.058% On-Fertilizer</t>
  </si>
  <si>
    <t>Durentis® 0.067% On-Fertilizer</t>
  </si>
  <si>
    <t xml:space="preserve">Durentis® Insecticide  </t>
  </si>
  <si>
    <t>2-3</t>
  </si>
  <si>
    <t>86248913</t>
  </si>
  <si>
    <t xml:space="preserve">Dylox® 420 SL </t>
  </si>
  <si>
    <t>Dylox® 6.2 G</t>
  </si>
  <si>
    <t>30 lb</t>
  </si>
  <si>
    <t>Echelon® 4SC Herbicide</t>
  </si>
  <si>
    <t>1-7</t>
  </si>
  <si>
    <t>8+</t>
  </si>
  <si>
    <t>Exteris® Stressgard®</t>
  </si>
  <si>
    <t> 2.5 gal</t>
  </si>
  <si>
    <t>1-5</t>
  </si>
  <si>
    <t>6+</t>
  </si>
  <si>
    <t>Fame® +C Fungicide</t>
  </si>
  <si>
    <t>Fame® SC Fungicide</t>
  </si>
  <si>
    <t>80910932</t>
  </si>
  <si>
    <t>Fiata® Stressgard®</t>
  </si>
  <si>
    <t>84411426</t>
  </si>
  <si>
    <t>D00000940</t>
  </si>
  <si>
    <t>Indemnify®</t>
  </si>
  <si>
    <t>17.1 fl oz</t>
  </si>
  <si>
    <t>3-5</t>
  </si>
  <si>
    <t>Interface® Stressgard®</t>
  </si>
  <si>
    <t xml:space="preserve">Kalida® Fungicide </t>
  </si>
  <si>
    <t>GO</t>
  </si>
  <si>
    <t>Kontos®</t>
  </si>
  <si>
    <t>250 ml</t>
  </si>
  <si>
    <t>1 qt</t>
  </si>
  <si>
    <t>4-15</t>
  </si>
  <si>
    <t>Merit WP 75</t>
  </si>
  <si>
    <t>1.6 oz</t>
  </si>
  <si>
    <t>02406377</t>
  </si>
  <si>
    <t>Merit® 2F®</t>
  </si>
  <si>
    <t>80973942</t>
  </si>
  <si>
    <t>Mirage® Stressgard®</t>
  </si>
  <si>
    <t>Prograss EC</t>
  </si>
  <si>
    <t>PGR</t>
  </si>
  <si>
    <t>04249932</t>
  </si>
  <si>
    <t>Proxy®</t>
  </si>
  <si>
    <t xml:space="preserve">QuickSilver® Herbicide </t>
  </si>
  <si>
    <t>8 oz</t>
  </si>
  <si>
    <t xml:space="preserve">Rayora® Fungicide </t>
  </si>
  <si>
    <t>Resilia®</t>
  </si>
  <si>
    <t>2.72 gal</t>
  </si>
  <si>
    <t>4-14</t>
  </si>
  <si>
    <t>15+</t>
  </si>
  <si>
    <t>Revolver®</t>
  </si>
  <si>
    <t>32 fl oz</t>
  </si>
  <si>
    <t>87 fl oz</t>
  </si>
  <si>
    <t xml:space="preserve">Ronstar® FLO </t>
  </si>
  <si>
    <t>12-39</t>
  </si>
  <si>
    <t>40+</t>
  </si>
  <si>
    <t>Sencor 75</t>
  </si>
  <si>
    <t>5 lb</t>
  </si>
  <si>
    <t xml:space="preserve">Serata® Fungicide </t>
  </si>
  <si>
    <t>35 oz</t>
  </si>
  <si>
    <t>85355422</t>
  </si>
  <si>
    <t>D00000989</t>
  </si>
  <si>
    <t xml:space="preserve">Signature™ XTRA Stressgard® </t>
  </si>
  <si>
    <t>5.5 lb</t>
  </si>
  <si>
    <t>1-23</t>
  </si>
  <si>
    <t>24+</t>
  </si>
  <si>
    <t>Signature™ XTRA Stressgard® Liquid</t>
  </si>
  <si>
    <t>98 oz</t>
  </si>
  <si>
    <t xml:space="preserve">Solitare® Herbicide </t>
  </si>
  <si>
    <t xml:space="preserve">1 lb </t>
  </si>
  <si>
    <t>4 lb</t>
  </si>
  <si>
    <t>Solitare® WSL Herbicide</t>
  </si>
  <si>
    <t xml:space="preserve">0.75 gal </t>
  </si>
  <si>
    <t xml:space="preserve">Specticle® FLO </t>
  </si>
  <si>
    <t>18 oz</t>
  </si>
  <si>
    <t>1-6</t>
  </si>
  <si>
    <t>86775387</t>
  </si>
  <si>
    <t>7-13</t>
  </si>
  <si>
    <t>14-25</t>
  </si>
  <si>
    <t>LL/NOW</t>
  </si>
  <si>
    <t>26+</t>
  </si>
  <si>
    <t>84056146</t>
  </si>
  <si>
    <t>Specticle® G</t>
  </si>
  <si>
    <t>1-39</t>
  </si>
  <si>
    <t>81760942</t>
  </si>
  <si>
    <t xml:space="preserve">Tartan® Stressgard® </t>
  </si>
  <si>
    <t>Tarvecta™</t>
  </si>
  <si>
    <t>Tetrino®</t>
  </si>
  <si>
    <t> 1 gal</t>
  </si>
  <si>
    <t>1-4</t>
  </si>
  <si>
    <t>5+</t>
  </si>
  <si>
    <t>79982844</t>
  </si>
  <si>
    <t>TopChoice®</t>
  </si>
  <si>
    <t>Tribute® Total</t>
  </si>
  <si>
    <t>Triple Crown® Golf Insecticide (RUP)</t>
  </si>
  <si>
    <t>Xonerate® 2SC Herbicide</t>
  </si>
  <si>
    <t>12 oz</t>
  </si>
  <si>
    <t xml:space="preserve">Talstar® Select Insecticide (RUP) </t>
  </si>
  <si>
    <t>Description</t>
  </si>
  <si>
    <t>Instances</t>
  </si>
  <si>
    <t>MOQ_1</t>
  </si>
  <si>
    <t>MOQ_2</t>
  </si>
  <si>
    <t>MOQ_3</t>
  </si>
  <si>
    <t>MOQ_4</t>
  </si>
  <si>
    <t>REB_MOQ_1</t>
  </si>
  <si>
    <t>REB_MOQ_2</t>
  </si>
  <si>
    <t>REB_MOQ_3</t>
  </si>
  <si>
    <t>REB_MOQ_4</t>
  </si>
  <si>
    <t>Order Form Quantity</t>
  </si>
  <si>
    <t>Qualified Rebate Tier</t>
  </si>
  <si>
    <t>Column1</t>
  </si>
  <si>
    <t>Volume Buy Counter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</si>
</sst>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quot;#,##0.00_);[Red]\(&quot;$&quot;#,##0.00\)"/>
    <numFmt numFmtId="44" formatCode="_(&quot;$&quot;* #,##0.00_);_(&quot;$&quot;* \(#,##0.00\);_(&quot;$&quot;* &quot;-&quot;??_);_(@_)"/>
    <numFmt numFmtId="164" formatCode="_ &quot;₹&quot;\ * #,##0.00_ ;_ &quot;₹&quot;\ * \-#,##0.00_ ;_ &quot;₹&quot;\ * &quot;-&quot;??_ ;_ @_ "/>
    <numFmt numFmtId="165" formatCode="&quot;$&quot;#,##0.00"/>
    <numFmt numFmtId="166" formatCode="\$\ #,##0.00"/>
    <numFmt numFmtId="167" formatCode="0.00######"/>
    <numFmt numFmtId="168" formatCode="0.0%"/>
    <numFmt numFmtId="169" formatCode="_-[$$-409]* #,##0.00_ ;_-[$$-409]* \-#,##0.00\ ;_-[$$-409]* &quot;-&quot;??_ ;_-@_ "/>
    <numFmt numFmtId="170" formatCode="_(* #,##0.0_);_(* \(#,##0.0\);_(* &quot;-&quot;??_);_(@_)"/>
    <numFmt numFmtId="171" formatCode="[$$-409]#,##0.00"/>
    <numFmt numFmtId="172" formatCode="0.0"/>
  </numFmts>
  <fonts count="49" x14ac:knownFonts="1">
    <font>
      <sz val="11"/>
      <color theme="1"/>
      <name val="Aptos Narrow"/>
      <family val="2"/>
      <scheme val="minor"/>
    </font>
    <font>
      <sz val="11"/>
      <color theme="1"/>
      <name val="Aptos Narrow"/>
      <family val="2"/>
      <scheme val="minor"/>
    </font>
    <font>
      <sz val="11"/>
      <color theme="1"/>
      <name val="Calibri"/>
      <family val="2"/>
    </font>
    <font>
      <b/>
      <sz val="11"/>
      <color theme="1"/>
      <name val="Calibri"/>
      <family val="2"/>
    </font>
    <font>
      <b/>
      <sz val="11"/>
      <color rgb="FF000000"/>
      <name val="Calibri"/>
      <family val="2"/>
    </font>
    <font>
      <sz val="11"/>
      <name val="Calibri"/>
      <family val="2"/>
    </font>
    <font>
      <sz val="11"/>
      <name val="Aptos Narrow"/>
      <family val="2"/>
    </font>
    <font>
      <sz val="11"/>
      <name val="Aptos Narrow"/>
      <family val="2"/>
      <scheme val="minor"/>
    </font>
    <font>
      <b/>
      <sz val="11"/>
      <color theme="0"/>
      <name val="Calibri"/>
      <family val="2"/>
    </font>
    <font>
      <sz val="8"/>
      <name val="Aptos Narrow"/>
      <family val="2"/>
      <scheme val="minor"/>
    </font>
    <font>
      <sz val="10"/>
      <color rgb="FF000000"/>
      <name val="Calibri"/>
      <family val="2"/>
    </font>
    <font>
      <b/>
      <sz val="14"/>
      <color theme="0"/>
      <name val="Arial"/>
      <family val="2"/>
    </font>
    <font>
      <b/>
      <u/>
      <sz val="10"/>
      <color rgb="FF000000"/>
      <name val="Calibri"/>
      <family val="2"/>
    </font>
    <font>
      <b/>
      <sz val="10"/>
      <color rgb="FF000000"/>
      <name val="Calibri"/>
      <family val="2"/>
    </font>
    <font>
      <sz val="11"/>
      <color rgb="FF7030A0"/>
      <name val="Calibri"/>
      <family val="2"/>
    </font>
    <font>
      <sz val="10"/>
      <color rgb="FFF5EBFF"/>
      <name val="Calibri"/>
      <family val="2"/>
    </font>
    <font>
      <i/>
      <sz val="10"/>
      <color rgb="FF000000"/>
      <name val="Calibri"/>
      <family val="2"/>
    </font>
    <font>
      <b/>
      <i/>
      <sz val="10"/>
      <color theme="2" tint="-0.499984740745262"/>
      <name val="Calibri"/>
      <family val="2"/>
    </font>
    <font>
      <b/>
      <sz val="10"/>
      <color rgb="FFC00000"/>
      <name val="Calibri"/>
      <family val="2"/>
    </font>
    <font>
      <sz val="10"/>
      <color theme="0"/>
      <name val="Calibri"/>
      <family val="2"/>
    </font>
    <font>
      <b/>
      <sz val="9"/>
      <color rgb="FF000000"/>
      <name val="Calibri"/>
      <family val="2"/>
    </font>
    <font>
      <sz val="8"/>
      <color rgb="FF000000"/>
      <name val="Calibri"/>
      <family val="2"/>
    </font>
    <font>
      <b/>
      <vertAlign val="superscript"/>
      <sz val="9"/>
      <color rgb="FF000000"/>
      <name val="Calibri"/>
      <family val="2"/>
    </font>
    <font>
      <b/>
      <sz val="16"/>
      <color rgb="FF000000"/>
      <name val="Calibri"/>
      <family val="2"/>
    </font>
    <font>
      <sz val="9"/>
      <color rgb="FF000000"/>
      <name val="Calibri"/>
      <family val="2"/>
    </font>
    <font>
      <sz val="16"/>
      <color rgb="FF000000"/>
      <name val="Calibri"/>
      <family val="2"/>
    </font>
    <font>
      <sz val="14"/>
      <color rgb="FF000000"/>
      <name val="Calibri"/>
      <family val="2"/>
    </font>
    <font>
      <b/>
      <sz val="18"/>
      <color theme="0"/>
      <name val="Calibri"/>
      <family val="2"/>
    </font>
    <font>
      <b/>
      <i/>
      <sz val="8"/>
      <color rgb="FF000000"/>
      <name val="Calibri"/>
      <family val="2"/>
    </font>
    <font>
      <sz val="10"/>
      <color theme="1"/>
      <name val="Calibri"/>
      <family val="2"/>
    </font>
    <font>
      <sz val="12"/>
      <color rgb="FF000000"/>
      <name val="Calibri"/>
      <family val="2"/>
    </font>
    <font>
      <b/>
      <sz val="14"/>
      <color theme="0"/>
      <name val="Calibri"/>
      <family val="2"/>
    </font>
    <font>
      <sz val="8"/>
      <color rgb="FF000000"/>
      <name val="Aptos Narrow"/>
      <family val="2"/>
    </font>
    <font>
      <sz val="10"/>
      <color theme="2" tint="-0.89999084444715716"/>
      <name val="Calibri"/>
      <family val="2"/>
    </font>
    <font>
      <b/>
      <sz val="11"/>
      <color theme="3" tint="0.249977111117893"/>
      <name val="Calibri"/>
      <family val="2"/>
    </font>
    <font>
      <b/>
      <sz val="11"/>
      <color rgb="FFFA7D00"/>
      <name val="Aptos Narrow"/>
      <family val="2"/>
      <scheme val="minor"/>
    </font>
    <font>
      <strike/>
      <sz val="11"/>
      <name val="Aptos Narrow"/>
      <family val="2"/>
    </font>
    <font>
      <sz val="18"/>
      <color rgb="FF000000"/>
      <name val="Calibri"/>
      <family val="2"/>
    </font>
    <font>
      <sz val="10"/>
      <name val="Calibri"/>
      <family val="2"/>
    </font>
    <font>
      <b/>
      <sz val="8"/>
      <color rgb="FF000000"/>
      <name val="Calibri"/>
      <family val="2"/>
    </font>
    <font>
      <b/>
      <u/>
      <sz val="11"/>
      <name val="Calibri"/>
      <family val="2"/>
    </font>
    <font>
      <b/>
      <u/>
      <sz val="12"/>
      <name val="Calibri"/>
      <family val="2"/>
    </font>
    <font>
      <b/>
      <i/>
      <sz val="9"/>
      <color rgb="FF000000"/>
      <name val="Calibri"/>
      <family val="2"/>
    </font>
    <font>
      <b/>
      <sz val="9"/>
      <color theme="1"/>
      <name val="Calibri"/>
      <family val="2"/>
    </font>
    <font>
      <sz val="9"/>
      <color theme="1"/>
      <name val="Aptos Narrow"/>
      <family val="2"/>
      <scheme val="minor"/>
    </font>
    <font>
      <sz val="10"/>
      <color rgb="FF000000"/>
      <name val="Aptos Narrow"/>
      <family val="2"/>
    </font>
    <font>
      <sz val="11"/>
      <color rgb="FF000000"/>
      <name val="Aptos Narrow"/>
      <family val="2"/>
      <scheme val="minor"/>
    </font>
    <font>
      <sz val="11"/>
      <color rgb="FF0B2340"/>
      <name val="Calibri"/>
      <family val="2"/>
    </font>
    <font>
      <sz val="11"/>
      <color rgb="FF000000"/>
      <name val="Calibri"/>
      <family val="2"/>
    </font>
  </fonts>
  <fills count="27">
    <fill>
      <patternFill patternType="none"/>
    </fill>
    <fill>
      <patternFill patternType="gray125"/>
    </fill>
    <fill>
      <patternFill patternType="solid">
        <fgColor rgb="FFFFFFCC"/>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0" tint="-4.9989318521683403E-2"/>
        <bgColor indexed="64"/>
      </patternFill>
    </fill>
    <fill>
      <patternFill patternType="solid">
        <fgColor theme="2" tint="-0.749992370372631"/>
        <bgColor indexed="64"/>
      </patternFill>
    </fill>
    <fill>
      <patternFill patternType="solid">
        <fgColor rgb="FFFFFFFF"/>
      </patternFill>
    </fill>
    <fill>
      <patternFill patternType="solid">
        <fgColor theme="0"/>
        <bgColor indexed="64"/>
      </patternFill>
    </fill>
    <fill>
      <patternFill patternType="solid">
        <fgColor rgb="FFF5EBFF"/>
        <bgColor indexed="64"/>
      </patternFill>
    </fill>
    <fill>
      <patternFill patternType="solid">
        <fgColor rgb="FFFAFAFA"/>
      </patternFill>
    </fill>
    <fill>
      <patternFill patternType="solid">
        <fgColor rgb="FFF9F3FF"/>
        <bgColor indexed="64"/>
      </patternFill>
    </fill>
    <fill>
      <patternFill patternType="solid">
        <fgColor theme="1"/>
        <bgColor indexed="64"/>
      </patternFill>
    </fill>
    <fill>
      <patternFill patternType="solid">
        <fgColor rgb="FFDEE2E6"/>
      </patternFill>
    </fill>
    <fill>
      <patternFill patternType="solid">
        <fgColor theme="0" tint="-0.14999847407452621"/>
        <bgColor indexed="64"/>
      </patternFill>
    </fill>
    <fill>
      <patternFill patternType="solid">
        <fgColor theme="1" tint="0.14999847407452621"/>
        <bgColor indexed="64"/>
      </patternFill>
    </fill>
    <fill>
      <patternFill patternType="solid">
        <fgColor rgb="FFFFFFCC"/>
        <bgColor indexed="64"/>
      </patternFill>
    </fill>
    <fill>
      <patternFill patternType="solid">
        <fgColor rgb="FF7030A0"/>
        <bgColor indexed="64"/>
      </patternFill>
    </fill>
    <fill>
      <patternFill patternType="solid">
        <fgColor theme="0"/>
        <bgColor theme="4" tint="0.79998168889431442"/>
      </patternFill>
    </fill>
    <fill>
      <patternFill patternType="solid">
        <fgColor rgb="FFFFF4D6"/>
        <bgColor indexed="64"/>
      </patternFill>
    </fill>
    <fill>
      <patternFill patternType="solid">
        <fgColor rgb="FFF2F2F2"/>
      </patternFill>
    </fill>
    <fill>
      <patternFill patternType="solid">
        <fgColor theme="2" tint="-0.249977111117893"/>
        <bgColor indexed="64"/>
      </patternFill>
    </fill>
    <fill>
      <patternFill patternType="solid">
        <fgColor rgb="FF774EA4"/>
        <bgColor indexed="64"/>
      </patternFill>
    </fill>
    <fill>
      <patternFill patternType="solid">
        <fgColor theme="0"/>
      </patternFill>
    </fill>
    <fill>
      <patternFill patternType="solid">
        <fgColor theme="1"/>
        <bgColor theme="4"/>
      </patternFill>
    </fill>
    <fill>
      <patternFill patternType="solid">
        <fgColor rgb="FFFFFF99"/>
        <bgColor rgb="FF000000"/>
      </patternFill>
    </fill>
    <fill>
      <patternFill patternType="solid">
        <fgColor rgb="FFE97132"/>
        <bgColor rgb="FF000000"/>
      </patternFill>
    </fill>
  </fills>
  <borders count="66">
    <border>
      <left/>
      <right/>
      <top/>
      <bottom/>
      <diagonal/>
    </border>
    <border>
      <left style="thin">
        <color rgb="FF7F7F7F"/>
      </left>
      <right style="thin">
        <color rgb="FF7F7F7F"/>
      </right>
      <top style="thin">
        <color rgb="FF7F7F7F"/>
      </top>
      <bottom style="thin">
        <color rgb="FF7F7F7F"/>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right style="thin">
        <color indexed="64"/>
      </right>
      <top/>
      <bottom/>
      <diagonal/>
    </border>
    <border>
      <left style="thin">
        <color indexed="64"/>
      </left>
      <right style="thin">
        <color indexed="64"/>
      </right>
      <top/>
      <bottom/>
      <diagonal/>
    </border>
    <border>
      <left style="thin">
        <color rgb="FF777777"/>
      </left>
      <right style="thin">
        <color rgb="FF777777"/>
      </right>
      <top style="thin">
        <color rgb="FF777777"/>
      </top>
      <bottom/>
      <diagonal/>
    </border>
    <border>
      <left/>
      <right/>
      <top/>
      <bottom style="medium">
        <color theme="4"/>
      </bottom>
      <diagonal/>
    </border>
    <border>
      <left/>
      <right/>
      <top style="medium">
        <color theme="4"/>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ck">
        <color rgb="FF66B512"/>
      </bottom>
      <diagonal/>
    </border>
    <border>
      <left/>
      <right/>
      <top style="thick">
        <color rgb="FF66B512"/>
      </top>
      <bottom/>
      <diagonal/>
    </border>
    <border>
      <left/>
      <right/>
      <top style="thin">
        <color theme="4" tint="0.39997558519241921"/>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theme="1"/>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auto="1"/>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auto="1"/>
      </right>
      <top/>
      <bottom style="thin">
        <color auto="1"/>
      </bottom>
      <diagonal/>
    </border>
    <border>
      <left style="thin">
        <color indexed="64"/>
      </left>
      <right/>
      <top/>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
      <left style="medium">
        <color indexed="64"/>
      </left>
      <right style="medium">
        <color indexed="64"/>
      </right>
      <top style="thin">
        <color auto="1"/>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auto="1"/>
      </left>
      <right style="medium">
        <color indexed="64"/>
      </right>
      <top style="thin">
        <color auto="1"/>
      </top>
      <bottom/>
      <diagonal/>
    </border>
    <border>
      <left style="medium">
        <color indexed="64"/>
      </left>
      <right style="medium">
        <color indexed="64"/>
      </right>
      <top style="thin">
        <color auto="1"/>
      </top>
      <bottom/>
      <diagonal/>
    </border>
    <border>
      <left style="medium">
        <color indexed="64"/>
      </left>
      <right/>
      <top/>
      <bottom style="medium">
        <color indexed="64"/>
      </bottom>
      <diagonal/>
    </border>
    <border>
      <left/>
      <right/>
      <top style="thin">
        <color theme="4" tint="0.39997558519241921"/>
      </top>
      <bottom style="thin">
        <color theme="1"/>
      </bottom>
      <diagonal/>
    </border>
  </borders>
  <cellStyleXfs count="8">
    <xf numFmtId="0" fontId="0" fillId="0" borderId="0"/>
    <xf numFmtId="9" fontId="1" fillId="0" borderId="0" applyFont="0" applyFill="0" applyBorder="0" applyAlignment="0" applyProtection="0"/>
    <xf numFmtId="0" fontId="2" fillId="0" borderId="0"/>
    <xf numFmtId="44" fontId="2" fillId="0" borderId="0" applyFont="0" applyFill="0" applyBorder="0" applyAlignment="0" applyProtection="0"/>
    <xf numFmtId="44" fontId="2" fillId="0" borderId="0" applyFont="0" applyFill="0" applyBorder="0" applyAlignment="0" applyProtection="0"/>
    <xf numFmtId="0" fontId="35" fillId="20" borderId="1" applyNumberFormat="0" applyAlignment="0" applyProtection="0"/>
    <xf numFmtId="0" fontId="2" fillId="0" borderId="0"/>
    <xf numFmtId="164" fontId="1" fillId="0" borderId="0" applyFont="0" applyFill="0" applyBorder="0" applyAlignment="0" applyProtection="0"/>
  </cellStyleXfs>
  <cellXfs count="403">
    <xf numFmtId="0" fontId="0" fillId="0" borderId="0" xfId="0"/>
    <xf numFmtId="0" fontId="0" fillId="0" borderId="0" xfId="0" applyAlignment="1">
      <alignment horizontal="center"/>
    </xf>
    <xf numFmtId="0" fontId="0" fillId="0" borderId="2" xfId="0" applyBorder="1"/>
    <xf numFmtId="0" fontId="0" fillId="4" borderId="2" xfId="0" applyFill="1" applyBorder="1"/>
    <xf numFmtId="0" fontId="2" fillId="4" borderId="3" xfId="2" applyFill="1" applyBorder="1"/>
    <xf numFmtId="0" fontId="0" fillId="0" borderId="5" xfId="0" applyBorder="1"/>
    <xf numFmtId="0" fontId="0" fillId="0" borderId="6" xfId="0" applyBorder="1"/>
    <xf numFmtId="0" fontId="4" fillId="5" borderId="9" xfId="0" applyFont="1" applyFill="1" applyBorder="1" applyAlignment="1">
      <alignment horizontal="left"/>
    </xf>
    <xf numFmtId="0" fontId="4" fillId="5" borderId="8" xfId="0" applyFont="1" applyFill="1" applyBorder="1" applyAlignment="1">
      <alignment horizontal="left"/>
    </xf>
    <xf numFmtId="0" fontId="4" fillId="5" borderId="8" xfId="0" applyFont="1" applyFill="1" applyBorder="1"/>
    <xf numFmtId="0" fontId="4" fillId="5" borderId="8" xfId="0" applyFont="1" applyFill="1" applyBorder="1" applyAlignment="1">
      <alignment horizontal="center"/>
    </xf>
    <xf numFmtId="0" fontId="8" fillId="6" borderId="8" xfId="0" applyFont="1" applyFill="1" applyBorder="1"/>
    <xf numFmtId="0" fontId="4" fillId="5" borderId="10" xfId="0" applyFont="1" applyFill="1" applyBorder="1"/>
    <xf numFmtId="0" fontId="10" fillId="7" borderId="0" xfId="0" applyFont="1" applyFill="1" applyProtection="1">
      <protection hidden="1"/>
    </xf>
    <xf numFmtId="0" fontId="10" fillId="8" borderId="0" xfId="0" applyFont="1" applyFill="1" applyProtection="1">
      <protection hidden="1"/>
    </xf>
    <xf numFmtId="0" fontId="11" fillId="8" borderId="0" xfId="0" applyFont="1" applyFill="1" applyAlignment="1" applyProtection="1">
      <alignment horizontal="left" vertical="center" wrapText="1"/>
      <protection hidden="1"/>
    </xf>
    <xf numFmtId="166" fontId="10" fillId="8" borderId="0" xfId="0" applyNumberFormat="1" applyFont="1" applyFill="1" applyProtection="1">
      <protection hidden="1"/>
    </xf>
    <xf numFmtId="167" fontId="10" fillId="8" borderId="0" xfId="0" applyNumberFormat="1" applyFont="1" applyFill="1" applyProtection="1">
      <protection hidden="1"/>
    </xf>
    <xf numFmtId="2" fontId="10" fillId="8" borderId="0" xfId="0" applyNumberFormat="1" applyFont="1" applyFill="1" applyProtection="1">
      <protection hidden="1"/>
    </xf>
    <xf numFmtId="167" fontId="10" fillId="7" borderId="0" xfId="0" applyNumberFormat="1" applyFont="1" applyFill="1" applyProtection="1">
      <protection hidden="1"/>
    </xf>
    <xf numFmtId="166" fontId="10" fillId="7" borderId="0" xfId="0" applyNumberFormat="1" applyFont="1" applyFill="1" applyProtection="1">
      <protection hidden="1"/>
    </xf>
    <xf numFmtId="166" fontId="3" fillId="8" borderId="0" xfId="0" applyNumberFormat="1" applyFont="1" applyFill="1" applyAlignment="1" applyProtection="1">
      <alignment vertical="center"/>
      <protection hidden="1"/>
    </xf>
    <xf numFmtId="166" fontId="12" fillId="9" borderId="0" xfId="0" applyNumberFormat="1" applyFont="1" applyFill="1" applyAlignment="1" applyProtection="1">
      <alignment horizontal="centerContinuous" vertical="center"/>
      <protection hidden="1"/>
    </xf>
    <xf numFmtId="166" fontId="13" fillId="9" borderId="0" xfId="0" applyNumberFormat="1" applyFont="1" applyFill="1" applyAlignment="1" applyProtection="1">
      <alignment horizontal="centerContinuous" vertical="center"/>
      <protection hidden="1"/>
    </xf>
    <xf numFmtId="166" fontId="13" fillId="8" borderId="0" xfId="0" applyNumberFormat="1" applyFont="1" applyFill="1" applyAlignment="1" applyProtection="1">
      <alignment horizontal="right" vertical="center" indent="1"/>
      <protection hidden="1"/>
    </xf>
    <xf numFmtId="166" fontId="10" fillId="5" borderId="5" xfId="0" quotePrefix="1" applyNumberFormat="1" applyFont="1" applyFill="1" applyBorder="1" applyAlignment="1" applyProtection="1">
      <alignment horizontal="center" vertical="center"/>
      <protection hidden="1"/>
    </xf>
    <xf numFmtId="0" fontId="10" fillId="10" borderId="13" xfId="0" applyFont="1" applyFill="1" applyBorder="1" applyAlignment="1" applyProtection="1">
      <alignment horizontal="center" vertical="center" wrapText="1"/>
      <protection hidden="1"/>
    </xf>
    <xf numFmtId="168" fontId="10" fillId="7" borderId="5" xfId="0" applyNumberFormat="1" applyFont="1" applyFill="1" applyBorder="1" applyAlignment="1" applyProtection="1">
      <alignment horizontal="center" vertical="center"/>
      <protection hidden="1"/>
    </xf>
    <xf numFmtId="0" fontId="10" fillId="10" borderId="15" xfId="0" applyFont="1" applyFill="1" applyBorder="1" applyAlignment="1" applyProtection="1">
      <alignment horizontal="center" vertical="center" wrapText="1"/>
      <protection hidden="1"/>
    </xf>
    <xf numFmtId="166" fontId="15" fillId="9" borderId="0" xfId="0" applyNumberFormat="1" applyFont="1" applyFill="1" applyProtection="1">
      <protection hidden="1"/>
    </xf>
    <xf numFmtId="2" fontId="15" fillId="9" borderId="0" xfId="0" applyNumberFormat="1" applyFont="1" applyFill="1" applyProtection="1">
      <protection hidden="1"/>
    </xf>
    <xf numFmtId="0" fontId="10" fillId="7" borderId="6" xfId="0" applyFont="1" applyFill="1" applyBorder="1" applyAlignment="1" applyProtection="1">
      <alignment horizontal="center" vertical="center" wrapText="1"/>
      <protection hidden="1"/>
    </xf>
    <xf numFmtId="167" fontId="17" fillId="9" borderId="0" xfId="0" applyNumberFormat="1" applyFont="1" applyFill="1" applyAlignment="1" applyProtection="1">
      <alignment horizontal="centerContinuous" vertical="center"/>
      <protection hidden="1"/>
    </xf>
    <xf numFmtId="167" fontId="10" fillId="9" borderId="0" xfId="0" applyNumberFormat="1" applyFont="1" applyFill="1" applyAlignment="1" applyProtection="1">
      <alignment horizontal="centerContinuous"/>
      <protection hidden="1"/>
    </xf>
    <xf numFmtId="2" fontId="10" fillId="9" borderId="0" xfId="0" applyNumberFormat="1" applyFont="1" applyFill="1" applyAlignment="1" applyProtection="1">
      <alignment horizontal="centerContinuous"/>
      <protection hidden="1"/>
    </xf>
    <xf numFmtId="0" fontId="18" fillId="7" borderId="0" xfId="0" applyFont="1" applyFill="1" applyAlignment="1" applyProtection="1">
      <alignment horizontal="center"/>
      <protection hidden="1"/>
    </xf>
    <xf numFmtId="167" fontId="19" fillId="12" borderId="0" xfId="0" applyNumberFormat="1" applyFont="1" applyFill="1" applyAlignment="1" applyProtection="1">
      <alignment horizontal="center"/>
      <protection hidden="1"/>
    </xf>
    <xf numFmtId="0" fontId="19" fillId="7" borderId="0" xfId="0" applyFont="1" applyFill="1" applyProtection="1">
      <protection hidden="1"/>
    </xf>
    <xf numFmtId="167" fontId="19" fillId="7" borderId="0" xfId="0" applyNumberFormat="1" applyFont="1" applyFill="1" applyProtection="1">
      <protection hidden="1"/>
    </xf>
    <xf numFmtId="0" fontId="19" fillId="0" borderId="0" xfId="0" applyFont="1" applyProtection="1">
      <protection hidden="1"/>
    </xf>
    <xf numFmtId="0" fontId="10" fillId="10" borderId="8" xfId="0" applyFont="1" applyFill="1" applyBorder="1" applyAlignment="1" applyProtection="1">
      <alignment horizontal="center" vertical="center"/>
      <protection hidden="1"/>
    </xf>
    <xf numFmtId="166" fontId="10" fillId="7" borderId="8" xfId="0" applyNumberFormat="1" applyFont="1" applyFill="1" applyBorder="1" applyAlignment="1" applyProtection="1">
      <alignment horizontal="center" vertical="center"/>
      <protection hidden="1"/>
    </xf>
    <xf numFmtId="166" fontId="10" fillId="10" borderId="8" xfId="0" applyNumberFormat="1" applyFont="1" applyFill="1" applyBorder="1" applyAlignment="1" applyProtection="1">
      <alignment horizontal="center" vertical="center"/>
      <protection hidden="1"/>
    </xf>
    <xf numFmtId="3" fontId="10" fillId="10" borderId="8" xfId="0" applyNumberFormat="1" applyFont="1" applyFill="1" applyBorder="1" applyAlignment="1" applyProtection="1">
      <alignment horizontal="center" vertical="center"/>
      <protection hidden="1"/>
    </xf>
    <xf numFmtId="165" fontId="10" fillId="10" borderId="8" xfId="0" applyNumberFormat="1" applyFont="1" applyFill="1" applyBorder="1" applyAlignment="1" applyProtection="1">
      <alignment horizontal="center" vertical="center"/>
      <protection hidden="1"/>
    </xf>
    <xf numFmtId="2" fontId="10" fillId="5" borderId="5" xfId="0" applyNumberFormat="1" applyFont="1" applyFill="1" applyBorder="1" applyAlignment="1" applyProtection="1">
      <alignment horizontal="center" vertical="center"/>
      <protection hidden="1"/>
    </xf>
    <xf numFmtId="0" fontId="10" fillId="10" borderId="5" xfId="0" applyFont="1" applyFill="1" applyBorder="1" applyAlignment="1" applyProtection="1">
      <alignment horizontal="center" vertical="center"/>
      <protection hidden="1"/>
    </xf>
    <xf numFmtId="1" fontId="10" fillId="9" borderId="5" xfId="0" applyNumberFormat="1" applyFont="1" applyFill="1" applyBorder="1" applyAlignment="1" applyProtection="1">
      <alignment horizontal="center" vertical="center"/>
      <protection locked="0"/>
    </xf>
    <xf numFmtId="0" fontId="10" fillId="7" borderId="0" xfId="0" applyFont="1" applyFill="1" applyAlignment="1" applyProtection="1">
      <alignment horizontal="right"/>
      <protection hidden="1"/>
    </xf>
    <xf numFmtId="0" fontId="23" fillId="7" borderId="0" xfId="0" applyFont="1" applyFill="1" applyAlignment="1" applyProtection="1">
      <alignment horizontal="center"/>
      <protection hidden="1"/>
    </xf>
    <xf numFmtId="0" fontId="24" fillId="7" borderId="0" xfId="0" applyFont="1" applyFill="1" applyAlignment="1" applyProtection="1">
      <alignment vertical="top" wrapText="1"/>
      <protection hidden="1"/>
    </xf>
    <xf numFmtId="0" fontId="25" fillId="7" borderId="22" xfId="0" applyFont="1" applyFill="1" applyBorder="1" applyAlignment="1" applyProtection="1">
      <alignment horizontal="left"/>
      <protection hidden="1"/>
    </xf>
    <xf numFmtId="0" fontId="24" fillId="7" borderId="0" xfId="0" applyFont="1" applyFill="1" applyAlignment="1" applyProtection="1">
      <alignment horizontal="left" vertical="top" wrapText="1"/>
      <protection hidden="1"/>
    </xf>
    <xf numFmtId="0" fontId="25" fillId="7" borderId="0" xfId="0" applyFont="1" applyFill="1" applyAlignment="1" applyProtection="1">
      <alignment horizontal="left"/>
      <protection hidden="1"/>
    </xf>
    <xf numFmtId="0" fontId="26" fillId="7" borderId="0" xfId="0" applyFont="1" applyFill="1" applyAlignment="1" applyProtection="1">
      <alignment vertical="center"/>
      <protection hidden="1"/>
    </xf>
    <xf numFmtId="0" fontId="25" fillId="7" borderId="0" xfId="0" applyFont="1" applyFill="1" applyAlignment="1" applyProtection="1">
      <alignment vertical="center"/>
      <protection hidden="1"/>
    </xf>
    <xf numFmtId="0" fontId="25" fillId="7" borderId="0" xfId="0" applyFont="1" applyFill="1" applyAlignment="1" applyProtection="1">
      <alignment vertical="top"/>
      <protection hidden="1"/>
    </xf>
    <xf numFmtId="0" fontId="10" fillId="7" borderId="0" xfId="0" applyFont="1" applyFill="1" applyAlignment="1" applyProtection="1">
      <alignment vertical="top" wrapText="1"/>
      <protection hidden="1"/>
    </xf>
    <xf numFmtId="0" fontId="10" fillId="7" borderId="0" xfId="0" applyFont="1" applyFill="1" applyAlignment="1" applyProtection="1">
      <alignment vertical="center" wrapText="1"/>
      <protection hidden="1"/>
    </xf>
    <xf numFmtId="2" fontId="10" fillId="7" borderId="0" xfId="0" applyNumberFormat="1" applyFont="1" applyFill="1" applyProtection="1">
      <protection hidden="1"/>
    </xf>
    <xf numFmtId="1" fontId="10" fillId="7" borderId="0" xfId="0" applyNumberFormat="1" applyFont="1" applyFill="1" applyAlignment="1" applyProtection="1">
      <alignment horizontal="right"/>
      <protection hidden="1"/>
    </xf>
    <xf numFmtId="1" fontId="10" fillId="8" borderId="0" xfId="0" applyNumberFormat="1" applyFont="1" applyFill="1" applyProtection="1">
      <protection hidden="1"/>
    </xf>
    <xf numFmtId="0" fontId="0" fillId="8" borderId="0" xfId="0" applyFill="1" applyProtection="1">
      <protection hidden="1"/>
    </xf>
    <xf numFmtId="0" fontId="0" fillId="0" borderId="0" xfId="0" applyProtection="1">
      <protection hidden="1"/>
    </xf>
    <xf numFmtId="0" fontId="10" fillId="10" borderId="13" xfId="0" applyFont="1" applyFill="1" applyBorder="1" applyAlignment="1" applyProtection="1">
      <alignment vertical="center" wrapText="1"/>
      <protection hidden="1"/>
    </xf>
    <xf numFmtId="0" fontId="10" fillId="10" borderId="15" xfId="0" applyFont="1" applyFill="1" applyBorder="1" applyAlignment="1" applyProtection="1">
      <alignment vertical="center" wrapText="1"/>
      <protection hidden="1"/>
    </xf>
    <xf numFmtId="0" fontId="10" fillId="7" borderId="6" xfId="0" applyFont="1" applyFill="1" applyBorder="1" applyAlignment="1" applyProtection="1">
      <alignment vertical="center" wrapText="1"/>
      <protection hidden="1"/>
    </xf>
    <xf numFmtId="0" fontId="4" fillId="0" borderId="0" xfId="0" applyFont="1"/>
    <xf numFmtId="0" fontId="21" fillId="8" borderId="0" xfId="0" applyFont="1" applyFill="1" applyProtection="1">
      <protection hidden="1"/>
    </xf>
    <xf numFmtId="0" fontId="0" fillId="8" borderId="0" xfId="0" applyFill="1" applyAlignment="1" applyProtection="1">
      <alignment horizontal="center"/>
      <protection hidden="1"/>
    </xf>
    <xf numFmtId="0" fontId="30" fillId="7" borderId="29" xfId="0" applyFont="1" applyFill="1" applyBorder="1" applyProtection="1">
      <protection hidden="1"/>
    </xf>
    <xf numFmtId="0" fontId="10" fillId="0" borderId="0" xfId="0" applyFont="1" applyAlignment="1" applyProtection="1">
      <alignment horizontal="left" vertical="center" indent="1"/>
      <protection hidden="1"/>
    </xf>
    <xf numFmtId="0" fontId="32" fillId="7" borderId="0" xfId="0" applyFont="1" applyFill="1" applyAlignment="1" applyProtection="1">
      <alignment vertical="top" wrapText="1"/>
      <protection hidden="1"/>
    </xf>
    <xf numFmtId="166" fontId="13" fillId="19" borderId="0" xfId="0" applyNumberFormat="1" applyFont="1" applyFill="1" applyAlignment="1" applyProtection="1">
      <alignment horizontal="center"/>
      <protection locked="0" hidden="1"/>
    </xf>
    <xf numFmtId="166" fontId="34" fillId="8" borderId="0" xfId="0" applyNumberFormat="1" applyFont="1" applyFill="1" applyProtection="1">
      <protection hidden="1"/>
    </xf>
    <xf numFmtId="0" fontId="10" fillId="11" borderId="14" xfId="0" applyFont="1" applyFill="1" applyBorder="1" applyAlignment="1" applyProtection="1">
      <alignment horizontal="center" vertical="center" wrapText="1"/>
      <protection locked="0"/>
    </xf>
    <xf numFmtId="0" fontId="10" fillId="11" borderId="16" xfId="0" applyFont="1" applyFill="1" applyBorder="1" applyAlignment="1" applyProtection="1">
      <alignment horizontal="center" vertical="center" wrapText="1"/>
      <protection locked="0"/>
    </xf>
    <xf numFmtId="0" fontId="10" fillId="11" borderId="18" xfId="0" applyFont="1" applyFill="1" applyBorder="1" applyAlignment="1" applyProtection="1">
      <alignment horizontal="center" vertical="center" wrapText="1"/>
      <protection locked="0"/>
    </xf>
    <xf numFmtId="14" fontId="10" fillId="11" borderId="5" xfId="0" applyNumberFormat="1" applyFont="1" applyFill="1" applyBorder="1" applyAlignment="1" applyProtection="1">
      <alignment horizontal="center" vertical="center" wrapText="1"/>
      <protection locked="0"/>
    </xf>
    <xf numFmtId="0" fontId="10" fillId="11" borderId="5" xfId="0" applyFont="1" applyFill="1" applyBorder="1" applyAlignment="1" applyProtection="1">
      <alignment horizontal="center" vertical="center" wrapText="1"/>
      <protection locked="0"/>
    </xf>
    <xf numFmtId="0" fontId="5" fillId="0" borderId="0" xfId="0" applyFont="1"/>
    <xf numFmtId="0" fontId="0" fillId="0" borderId="31" xfId="0" applyBorder="1"/>
    <xf numFmtId="0" fontId="6" fillId="0" borderId="0" xfId="0" applyFont="1"/>
    <xf numFmtId="0" fontId="6" fillId="0" borderId="0" xfId="0" applyFont="1" applyAlignment="1">
      <alignment horizontal="center"/>
    </xf>
    <xf numFmtId="0" fontId="7" fillId="0" borderId="0" xfId="0" applyFont="1" applyAlignment="1">
      <alignment horizontal="left" vertical="center" wrapText="1"/>
    </xf>
    <xf numFmtId="0" fontId="5" fillId="0" borderId="0" xfId="0" applyFont="1" applyAlignment="1">
      <alignment horizontal="center" vertical="top"/>
    </xf>
    <xf numFmtId="0" fontId="7" fillId="0" borderId="0" xfId="0" applyFont="1" applyAlignment="1">
      <alignment horizontal="left" vertical="center"/>
    </xf>
    <xf numFmtId="0" fontId="7" fillId="0" borderId="0" xfId="0" applyFont="1" applyAlignment="1">
      <alignment horizontal="left"/>
    </xf>
    <xf numFmtId="0" fontId="36" fillId="0" borderId="0" xfId="0" applyFont="1"/>
    <xf numFmtId="0" fontId="36" fillId="0" borderId="0" xfId="0" applyFont="1" applyAlignment="1">
      <alignment horizontal="center"/>
    </xf>
    <xf numFmtId="49" fontId="5" fillId="0" borderId="0" xfId="0" applyNumberFormat="1" applyFont="1" applyAlignment="1">
      <alignment horizontal="center"/>
    </xf>
    <xf numFmtId="0" fontId="7" fillId="0" borderId="0" xfId="0" applyFont="1" applyAlignment="1">
      <alignment horizontal="center" vertical="center"/>
    </xf>
    <xf numFmtId="0" fontId="5" fillId="0" borderId="0" xfId="0" applyFont="1" applyAlignment="1">
      <alignment horizontal="center"/>
    </xf>
    <xf numFmtId="0" fontId="7" fillId="0" borderId="0" xfId="0" applyFont="1" applyAlignment="1">
      <alignment horizontal="center" vertical="top"/>
    </xf>
    <xf numFmtId="0" fontId="0" fillId="0" borderId="32" xfId="0" applyBorder="1"/>
    <xf numFmtId="0" fontId="0" fillId="0" borderId="12" xfId="0" applyBorder="1"/>
    <xf numFmtId="168" fontId="10" fillId="7" borderId="5" xfId="1" applyNumberFormat="1" applyFont="1" applyFill="1" applyBorder="1" applyAlignment="1" applyProtection="1">
      <alignment horizontal="center" vertical="center"/>
      <protection hidden="1"/>
    </xf>
    <xf numFmtId="0" fontId="37" fillId="7" borderId="22" xfId="0" applyFont="1" applyFill="1" applyBorder="1" applyAlignment="1" applyProtection="1">
      <alignment horizontal="left"/>
      <protection hidden="1"/>
    </xf>
    <xf numFmtId="0" fontId="38" fillId="7" borderId="0" xfId="0" applyFont="1" applyFill="1" applyProtection="1">
      <protection hidden="1"/>
    </xf>
    <xf numFmtId="168" fontId="10" fillId="14" borderId="5" xfId="1" applyNumberFormat="1" applyFont="1" applyFill="1" applyBorder="1" applyAlignment="1" applyProtection="1">
      <alignment horizontal="center" vertical="center"/>
      <protection hidden="1"/>
    </xf>
    <xf numFmtId="167" fontId="38" fillId="7" borderId="0" xfId="0" applyNumberFormat="1" applyFont="1" applyFill="1" applyProtection="1">
      <protection hidden="1"/>
    </xf>
    <xf numFmtId="0" fontId="24" fillId="0" borderId="0" xfId="0" applyFont="1" applyAlignment="1">
      <alignment horizontal="left"/>
    </xf>
    <xf numFmtId="0" fontId="40" fillId="0" borderId="0" xfId="0" applyFont="1" applyAlignment="1" applyProtection="1">
      <alignment horizontal="left" vertical="top"/>
      <protection hidden="1"/>
    </xf>
    <xf numFmtId="1" fontId="10" fillId="8" borderId="0" xfId="0" applyNumberFormat="1" applyFont="1" applyFill="1" applyAlignment="1" applyProtection="1">
      <alignment horizontal="left" vertical="center" indent="1"/>
      <protection hidden="1"/>
    </xf>
    <xf numFmtId="1" fontId="10" fillId="8" borderId="0" xfId="0" applyNumberFormat="1" applyFont="1" applyFill="1" applyAlignment="1" applyProtection="1">
      <alignment horizontal="right" vertical="center" indent="1"/>
      <protection hidden="1"/>
    </xf>
    <xf numFmtId="166" fontId="29" fillId="10" borderId="0" xfId="0" applyNumberFormat="1" applyFont="1" applyFill="1" applyAlignment="1" applyProtection="1">
      <alignment horizontal="right" indent="1"/>
      <protection hidden="1"/>
    </xf>
    <xf numFmtId="166" fontId="10" fillId="10" borderId="0" xfId="0" applyNumberFormat="1" applyFont="1" applyFill="1" applyAlignment="1" applyProtection="1">
      <alignment horizontal="right" indent="1"/>
      <protection hidden="1"/>
    </xf>
    <xf numFmtId="0" fontId="23" fillId="7" borderId="29" xfId="0" applyFont="1" applyFill="1" applyBorder="1" applyProtection="1">
      <protection hidden="1"/>
    </xf>
    <xf numFmtId="0" fontId="32" fillId="0" borderId="0" xfId="0" applyFont="1" applyAlignment="1">
      <alignment vertical="top" wrapText="1"/>
    </xf>
    <xf numFmtId="0" fontId="10" fillId="9" borderId="5" xfId="0" applyFont="1" applyFill="1" applyBorder="1" applyAlignment="1" applyProtection="1">
      <alignment horizontal="center" vertical="center"/>
      <protection locked="0"/>
    </xf>
    <xf numFmtId="0" fontId="10" fillId="12" borderId="35" xfId="0" applyFont="1" applyFill="1" applyBorder="1" applyAlignment="1" applyProtection="1">
      <alignment horizontal="center" vertical="center"/>
      <protection hidden="1"/>
    </xf>
    <xf numFmtId="0" fontId="10" fillId="12" borderId="5" xfId="0" applyFont="1" applyFill="1" applyBorder="1" applyAlignment="1" applyProtection="1">
      <alignment horizontal="center" vertical="center"/>
      <protection hidden="1"/>
    </xf>
    <xf numFmtId="0" fontId="10" fillId="7" borderId="0" xfId="0" applyFont="1" applyFill="1" applyAlignment="1" applyProtection="1">
      <alignment vertical="center"/>
      <protection hidden="1"/>
    </xf>
    <xf numFmtId="0" fontId="41" fillId="0" borderId="0" xfId="0" applyFont="1" applyAlignment="1" applyProtection="1">
      <alignment horizontal="left" vertical="top"/>
      <protection hidden="1"/>
    </xf>
    <xf numFmtId="0" fontId="24" fillId="14" borderId="25" xfId="0" applyFont="1" applyFill="1" applyBorder="1" applyAlignment="1" applyProtection="1">
      <alignment vertical="top" wrapText="1"/>
      <protection hidden="1"/>
    </xf>
    <xf numFmtId="0" fontId="24" fillId="14" borderId="27" xfId="0" applyFont="1" applyFill="1" applyBorder="1" applyAlignment="1" applyProtection="1">
      <alignment vertical="top" wrapText="1"/>
      <protection hidden="1"/>
    </xf>
    <xf numFmtId="0" fontId="10" fillId="10" borderId="9" xfId="0" applyFont="1" applyFill="1" applyBorder="1" applyAlignment="1" applyProtection="1">
      <alignment horizontal="left" vertical="center" indent="2"/>
      <protection hidden="1"/>
    </xf>
    <xf numFmtId="2" fontId="10" fillId="5" borderId="8" xfId="0" applyNumberFormat="1" applyFont="1" applyFill="1" applyBorder="1" applyAlignment="1" applyProtection="1">
      <alignment horizontal="center" vertical="center"/>
      <protection hidden="1"/>
    </xf>
    <xf numFmtId="166" fontId="10" fillId="7" borderId="5" xfId="0" applyNumberFormat="1" applyFont="1" applyFill="1" applyBorder="1" applyAlignment="1" applyProtection="1">
      <alignment horizontal="center" vertical="center"/>
      <protection hidden="1"/>
    </xf>
    <xf numFmtId="166" fontId="10" fillId="14" borderId="5" xfId="0" applyNumberFormat="1" applyFont="1" applyFill="1" applyBorder="1" applyAlignment="1" applyProtection="1">
      <alignment horizontal="center" vertical="center"/>
      <protection hidden="1"/>
    </xf>
    <xf numFmtId="0" fontId="13" fillId="14" borderId="26" xfId="0" applyFont="1" applyFill="1" applyBorder="1" applyAlignment="1" applyProtection="1">
      <alignment vertical="center"/>
      <protection hidden="1"/>
    </xf>
    <xf numFmtId="166" fontId="13" fillId="14" borderId="26" xfId="0" applyNumberFormat="1" applyFont="1" applyFill="1" applyBorder="1" applyAlignment="1" applyProtection="1">
      <alignment horizontal="center" vertical="center"/>
      <protection hidden="1"/>
    </xf>
    <xf numFmtId="0" fontId="13" fillId="14" borderId="27" xfId="0" applyFont="1" applyFill="1" applyBorder="1" applyAlignment="1" applyProtection="1">
      <alignment vertical="center"/>
      <protection hidden="1"/>
    </xf>
    <xf numFmtId="166" fontId="19" fillId="7" borderId="0" xfId="0" applyNumberFormat="1" applyFont="1" applyFill="1" applyAlignment="1" applyProtection="1">
      <alignment vertical="center"/>
      <protection hidden="1"/>
    </xf>
    <xf numFmtId="0" fontId="7" fillId="0" borderId="2" xfId="0" applyFont="1" applyBorder="1" applyAlignment="1">
      <alignment horizontal="left"/>
    </xf>
    <xf numFmtId="0" fontId="1" fillId="0" borderId="0" xfId="5" applyFont="1" applyFill="1" applyBorder="1"/>
    <xf numFmtId="0" fontId="0" fillId="0" borderId="0" xfId="5" applyFont="1" applyFill="1" applyBorder="1" applyAlignment="1">
      <alignment horizontal="left"/>
    </xf>
    <xf numFmtId="0" fontId="0" fillId="0" borderId="0" xfId="5" applyFont="1" applyFill="1" applyBorder="1"/>
    <xf numFmtId="0" fontId="7" fillId="0" borderId="2" xfId="0" applyFont="1" applyBorder="1" applyAlignment="1">
      <alignment horizontal="left" vertical="center"/>
    </xf>
    <xf numFmtId="0" fontId="10" fillId="7" borderId="6" xfId="0" applyFont="1" applyFill="1" applyBorder="1" applyAlignment="1" applyProtection="1">
      <alignment horizontal="left" vertical="center" indent="6"/>
      <protection hidden="1"/>
    </xf>
    <xf numFmtId="0" fontId="10" fillId="7" borderId="24" xfId="0" applyFont="1" applyFill="1" applyBorder="1" applyAlignment="1" applyProtection="1">
      <alignment horizontal="left" vertical="center" indent="6"/>
      <protection hidden="1"/>
    </xf>
    <xf numFmtId="0" fontId="10" fillId="7" borderId="7" xfId="0" applyFont="1" applyFill="1" applyBorder="1" applyAlignment="1" applyProtection="1">
      <alignment horizontal="left" vertical="center" indent="6"/>
      <protection hidden="1"/>
    </xf>
    <xf numFmtId="169" fontId="0" fillId="0" borderId="2" xfId="0" applyNumberFormat="1" applyBorder="1"/>
    <xf numFmtId="169" fontId="0" fillId="4" borderId="2" xfId="0" applyNumberFormat="1" applyFill="1" applyBorder="1"/>
    <xf numFmtId="169" fontId="0" fillId="0" borderId="31" xfId="0" applyNumberFormat="1" applyBorder="1"/>
    <xf numFmtId="0" fontId="0" fillId="8" borderId="0" xfId="0" applyFill="1"/>
    <xf numFmtId="0" fontId="32" fillId="7" borderId="0" xfId="0" applyFont="1" applyFill="1" applyAlignment="1" applyProtection="1">
      <alignment horizontal="left" vertical="top" wrapText="1"/>
      <protection hidden="1"/>
    </xf>
    <xf numFmtId="0" fontId="16" fillId="7" borderId="30" xfId="0" applyFont="1" applyFill="1" applyBorder="1" applyAlignment="1" applyProtection="1">
      <alignment horizontal="left" vertical="center"/>
      <protection hidden="1"/>
    </xf>
    <xf numFmtId="0" fontId="16" fillId="7" borderId="0" xfId="0" applyFont="1" applyFill="1" applyAlignment="1" applyProtection="1">
      <alignment horizontal="left" vertical="center"/>
      <protection hidden="1"/>
    </xf>
    <xf numFmtId="0" fontId="10" fillId="14" borderId="6" xfId="0" applyFont="1" applyFill="1" applyBorder="1" applyAlignment="1" applyProtection="1">
      <alignment horizontal="left" vertical="center" indent="3"/>
      <protection hidden="1"/>
    </xf>
    <xf numFmtId="0" fontId="10" fillId="14" borderId="24" xfId="0" applyFont="1" applyFill="1" applyBorder="1" applyAlignment="1" applyProtection="1">
      <alignment horizontal="left" vertical="center" indent="3"/>
      <protection hidden="1"/>
    </xf>
    <xf numFmtId="0" fontId="10" fillId="14" borderId="7" xfId="0" applyFont="1" applyFill="1" applyBorder="1" applyAlignment="1" applyProtection="1">
      <alignment horizontal="left" vertical="center" indent="3"/>
      <protection hidden="1"/>
    </xf>
    <xf numFmtId="0" fontId="10" fillId="7" borderId="23" xfId="0" applyFont="1" applyFill="1" applyBorder="1" applyAlignment="1" applyProtection="1">
      <alignment horizontal="left" vertical="center" wrapText="1"/>
      <protection hidden="1"/>
    </xf>
    <xf numFmtId="2" fontId="10" fillId="5" borderId="46" xfId="0" applyNumberFormat="1" applyFont="1" applyFill="1" applyBorder="1" applyAlignment="1" applyProtection="1">
      <alignment horizontal="center" vertical="center"/>
      <protection hidden="1"/>
    </xf>
    <xf numFmtId="0" fontId="11" fillId="22" borderId="0" xfId="0" applyFont="1" applyFill="1" applyAlignment="1" applyProtection="1">
      <alignment horizontal="left" vertical="center" wrapText="1"/>
      <protection hidden="1"/>
    </xf>
    <xf numFmtId="0" fontId="5" fillId="3" borderId="0" xfId="0" applyFont="1" applyFill="1"/>
    <xf numFmtId="0" fontId="6" fillId="3" borderId="0" xfId="0" applyFont="1" applyFill="1" applyAlignment="1">
      <alignment horizontal="center"/>
    </xf>
    <xf numFmtId="0" fontId="6" fillId="3" borderId="0" xfId="0" applyFont="1" applyFill="1"/>
    <xf numFmtId="0" fontId="2" fillId="3" borderId="0" xfId="6" applyFill="1"/>
    <xf numFmtId="0" fontId="0" fillId="3" borderId="0" xfId="0" applyFill="1"/>
    <xf numFmtId="170" fontId="0" fillId="0" borderId="0" xfId="0" applyNumberFormat="1"/>
    <xf numFmtId="10" fontId="0" fillId="0" borderId="0" xfId="0" applyNumberFormat="1"/>
    <xf numFmtId="0" fontId="7" fillId="8" borderId="0" xfId="0" applyFont="1" applyFill="1" applyAlignment="1">
      <alignment horizontal="left"/>
    </xf>
    <xf numFmtId="0" fontId="7" fillId="18" borderId="0" xfId="0" applyFont="1" applyFill="1" applyAlignment="1">
      <alignment horizontal="left"/>
    </xf>
    <xf numFmtId="0" fontId="0" fillId="8" borderId="0" xfId="5" applyFont="1" applyFill="1" applyBorder="1" applyAlignment="1">
      <alignment horizontal="left"/>
    </xf>
    <xf numFmtId="0" fontId="10" fillId="10" borderId="21" xfId="0" applyFont="1" applyFill="1" applyBorder="1" applyAlignment="1" applyProtection="1">
      <alignment horizontal="center" vertical="center"/>
      <protection hidden="1"/>
    </xf>
    <xf numFmtId="0" fontId="7" fillId="18" borderId="0" xfId="0" applyFont="1" applyFill="1" applyAlignment="1">
      <alignment horizontal="left" vertical="center" wrapText="1"/>
    </xf>
    <xf numFmtId="0" fontId="7" fillId="18" borderId="0" xfId="0" applyFont="1" applyFill="1" applyAlignment="1">
      <alignment horizontal="left" vertical="center"/>
    </xf>
    <xf numFmtId="0" fontId="6" fillId="18" borderId="0" xfId="0" applyFont="1" applyFill="1"/>
    <xf numFmtId="0" fontId="0" fillId="18" borderId="0" xfId="0" applyFill="1"/>
    <xf numFmtId="0" fontId="13" fillId="10" borderId="17" xfId="0" applyFont="1" applyFill="1" applyBorder="1" applyAlignment="1" applyProtection="1">
      <alignment vertical="center" wrapText="1"/>
      <protection hidden="1"/>
    </xf>
    <xf numFmtId="0" fontId="13" fillId="10" borderId="17" xfId="0" applyFont="1" applyFill="1" applyBorder="1" applyAlignment="1" applyProtection="1">
      <alignment horizontal="center" vertical="center" wrapText="1"/>
      <protection hidden="1"/>
    </xf>
    <xf numFmtId="169" fontId="0" fillId="0" borderId="0" xfId="0" applyNumberFormat="1"/>
    <xf numFmtId="0" fontId="0" fillId="0" borderId="0" xfId="0" applyAlignment="1">
      <alignment vertical="center"/>
    </xf>
    <xf numFmtId="0" fontId="0" fillId="0" borderId="0" xfId="0" applyAlignment="1">
      <alignment horizontal="center" vertical="center"/>
    </xf>
    <xf numFmtId="0" fontId="0" fillId="0" borderId="49" xfId="0" applyBorder="1"/>
    <xf numFmtId="0" fontId="8" fillId="24" borderId="4" xfId="2" applyFont="1" applyFill="1" applyBorder="1"/>
    <xf numFmtId="0" fontId="7" fillId="0" borderId="49" xfId="0" applyFont="1" applyBorder="1" applyAlignment="1">
      <alignment horizontal="left" vertical="center" wrapText="1"/>
    </xf>
    <xf numFmtId="0" fontId="7" fillId="0" borderId="49" xfId="0" applyFont="1" applyBorder="1" applyAlignment="1">
      <alignment horizontal="left"/>
    </xf>
    <xf numFmtId="0" fontId="7" fillId="0" borderId="49" xfId="0" applyFont="1" applyBorder="1" applyAlignment="1">
      <alignment horizontal="left" vertical="center"/>
    </xf>
    <xf numFmtId="0" fontId="6" fillId="0" borderId="49" xfId="0" applyFont="1" applyBorder="1"/>
    <xf numFmtId="0" fontId="0" fillId="0" borderId="49" xfId="5" applyFont="1" applyFill="1" applyBorder="1" applyAlignment="1">
      <alignment horizontal="left"/>
    </xf>
    <xf numFmtId="0" fontId="7" fillId="18" borderId="5" xfId="0" applyFont="1" applyFill="1" applyBorder="1" applyAlignment="1">
      <alignment horizontal="left" vertical="center" wrapText="1"/>
    </xf>
    <xf numFmtId="0" fontId="10" fillId="23" borderId="5" xfId="0" applyFont="1" applyFill="1" applyBorder="1" applyAlignment="1" applyProtection="1">
      <alignment horizontal="center" vertical="center"/>
      <protection hidden="1"/>
    </xf>
    <xf numFmtId="0" fontId="7" fillId="8" borderId="5" xfId="0" applyFont="1" applyFill="1" applyBorder="1" applyAlignment="1">
      <alignment horizontal="left"/>
    </xf>
    <xf numFmtId="0" fontId="7" fillId="18" borderId="5" xfId="0" applyFont="1" applyFill="1" applyBorder="1" applyAlignment="1">
      <alignment horizontal="left"/>
    </xf>
    <xf numFmtId="0" fontId="7" fillId="18" borderId="5" xfId="0" applyFont="1" applyFill="1" applyBorder="1" applyAlignment="1">
      <alignment horizontal="left" vertical="center"/>
    </xf>
    <xf numFmtId="0" fontId="10" fillId="13" borderId="5" xfId="0" applyFont="1" applyFill="1" applyBorder="1" applyProtection="1">
      <protection hidden="1"/>
    </xf>
    <xf numFmtId="0" fontId="10" fillId="7" borderId="5" xfId="0" applyFont="1" applyFill="1" applyBorder="1" applyAlignment="1" applyProtection="1">
      <alignment horizontal="center" vertical="center"/>
      <protection hidden="1"/>
    </xf>
    <xf numFmtId="0" fontId="6" fillId="18" borderId="5" xfId="0" applyFont="1" applyFill="1" applyBorder="1"/>
    <xf numFmtId="0" fontId="0" fillId="18" borderId="5" xfId="0" applyFill="1" applyBorder="1"/>
    <xf numFmtId="0" fontId="0" fillId="8" borderId="5" xfId="5" applyFont="1" applyFill="1" applyBorder="1" applyAlignment="1">
      <alignment horizontal="left"/>
    </xf>
    <xf numFmtId="0" fontId="10" fillId="8" borderId="5" xfId="0" applyFont="1" applyFill="1" applyBorder="1" applyProtection="1">
      <protection hidden="1"/>
    </xf>
    <xf numFmtId="0" fontId="24" fillId="14" borderId="0" xfId="0" applyFont="1" applyFill="1" applyAlignment="1" applyProtection="1">
      <alignment vertical="top" wrapText="1"/>
      <protection hidden="1"/>
    </xf>
    <xf numFmtId="167" fontId="20" fillId="5" borderId="51" xfId="0" applyNumberFormat="1" applyFont="1" applyFill="1" applyBorder="1" applyAlignment="1" applyProtection="1">
      <alignment horizontal="center" vertical="center" wrapText="1"/>
      <protection hidden="1"/>
    </xf>
    <xf numFmtId="0" fontId="20" fillId="13" borderId="52" xfId="0" applyFont="1" applyFill="1" applyBorder="1" applyAlignment="1" applyProtection="1">
      <alignment horizontal="center" vertical="center"/>
      <protection hidden="1"/>
    </xf>
    <xf numFmtId="0" fontId="20" fillId="13" borderId="40" xfId="0" applyFont="1" applyFill="1" applyBorder="1" applyAlignment="1" applyProtection="1">
      <alignment horizontal="center" vertical="center"/>
      <protection hidden="1"/>
    </xf>
    <xf numFmtId="1" fontId="20" fillId="13" borderId="40" xfId="0" applyNumberFormat="1" applyFont="1" applyFill="1" applyBorder="1" applyAlignment="1" applyProtection="1">
      <alignment horizontal="center" vertical="center"/>
      <protection hidden="1"/>
    </xf>
    <xf numFmtId="166" fontId="20" fillId="13" borderId="40" xfId="0" applyNumberFormat="1" applyFont="1" applyFill="1" applyBorder="1" applyAlignment="1" applyProtection="1">
      <alignment horizontal="center" vertical="center" wrapText="1"/>
      <protection hidden="1"/>
    </xf>
    <xf numFmtId="166" fontId="20" fillId="13" borderId="53" xfId="0" applyNumberFormat="1" applyFont="1" applyFill="1" applyBorder="1" applyAlignment="1" applyProtection="1">
      <alignment horizontal="center" vertical="center" wrapText="1"/>
      <protection hidden="1"/>
    </xf>
    <xf numFmtId="166" fontId="20" fillId="14" borderId="51" xfId="0" applyNumberFormat="1" applyFont="1" applyFill="1" applyBorder="1" applyAlignment="1" applyProtection="1">
      <alignment horizontal="center" vertical="center"/>
      <protection hidden="1"/>
    </xf>
    <xf numFmtId="166" fontId="20" fillId="13" borderId="54" xfId="0" applyNumberFormat="1" applyFont="1" applyFill="1" applyBorder="1" applyAlignment="1" applyProtection="1">
      <alignment horizontal="center" vertical="center" wrapText="1"/>
      <protection hidden="1"/>
    </xf>
    <xf numFmtId="166" fontId="10" fillId="9" borderId="5" xfId="0" applyNumberFormat="1" applyFont="1" applyFill="1" applyBorder="1" applyAlignment="1" applyProtection="1">
      <alignment horizontal="center" vertical="center"/>
      <protection locked="0"/>
    </xf>
    <xf numFmtId="3" fontId="10" fillId="14" borderId="5" xfId="0" applyNumberFormat="1" applyFont="1" applyFill="1" applyBorder="1" applyAlignment="1" applyProtection="1">
      <alignment horizontal="center" vertical="center"/>
      <protection hidden="1"/>
    </xf>
    <xf numFmtId="0" fontId="10" fillId="10" borderId="46" xfId="0" applyFont="1" applyFill="1" applyBorder="1" applyAlignment="1" applyProtection="1">
      <alignment horizontal="center" vertical="center"/>
      <protection hidden="1"/>
    </xf>
    <xf numFmtId="0" fontId="10" fillId="7" borderId="46" xfId="0" applyFont="1" applyFill="1" applyBorder="1" applyAlignment="1" applyProtection="1">
      <alignment horizontal="center" vertical="center"/>
      <protection hidden="1"/>
    </xf>
    <xf numFmtId="0" fontId="10" fillId="9" borderId="46" xfId="0" applyFont="1" applyFill="1" applyBorder="1" applyAlignment="1" applyProtection="1">
      <alignment horizontal="center" vertical="center"/>
      <protection locked="0"/>
    </xf>
    <xf numFmtId="166" fontId="10" fillId="9" borderId="46" xfId="0" applyNumberFormat="1" applyFont="1" applyFill="1" applyBorder="1" applyAlignment="1" applyProtection="1">
      <alignment horizontal="center" vertical="center"/>
      <protection locked="0"/>
    </xf>
    <xf numFmtId="166" fontId="10" fillId="7" borderId="46" xfId="0" applyNumberFormat="1" applyFont="1" applyFill="1" applyBorder="1" applyAlignment="1" applyProtection="1">
      <alignment horizontal="center" vertical="center"/>
      <protection hidden="1"/>
    </xf>
    <xf numFmtId="166" fontId="10" fillId="14" borderId="46" xfId="0" applyNumberFormat="1" applyFont="1" applyFill="1" applyBorder="1" applyAlignment="1" applyProtection="1">
      <alignment horizontal="center" vertical="center"/>
      <protection hidden="1"/>
    </xf>
    <xf numFmtId="3" fontId="10" fillId="14" borderId="46" xfId="0" applyNumberFormat="1" applyFont="1" applyFill="1" applyBorder="1" applyAlignment="1" applyProtection="1">
      <alignment horizontal="center" vertical="center"/>
      <protection hidden="1"/>
    </xf>
    <xf numFmtId="166" fontId="10" fillId="7" borderId="41" xfId="0" applyNumberFormat="1" applyFont="1" applyFill="1" applyBorder="1" applyAlignment="1" applyProtection="1">
      <alignment horizontal="center" vertical="center"/>
      <protection hidden="1"/>
    </xf>
    <xf numFmtId="166" fontId="10" fillId="7" borderId="42" xfId="0" applyNumberFormat="1" applyFont="1" applyFill="1" applyBorder="1" applyAlignment="1" applyProtection="1">
      <alignment horizontal="center" vertical="center"/>
      <protection hidden="1"/>
    </xf>
    <xf numFmtId="166" fontId="10" fillId="10" borderId="10" xfId="0" applyNumberFormat="1" applyFont="1" applyFill="1" applyBorder="1" applyAlignment="1" applyProtection="1">
      <alignment horizontal="center" vertical="center"/>
      <protection hidden="1"/>
    </xf>
    <xf numFmtId="2" fontId="10" fillId="9" borderId="8" xfId="0" applyNumberFormat="1" applyFont="1" applyFill="1" applyBorder="1" applyAlignment="1" applyProtection="1">
      <alignment horizontal="center" vertical="center"/>
      <protection locked="0" hidden="1"/>
    </xf>
    <xf numFmtId="0" fontId="10" fillId="10" borderId="32" xfId="0" applyFont="1" applyFill="1" applyBorder="1" applyAlignment="1" applyProtection="1">
      <alignment horizontal="center" vertical="center"/>
      <protection hidden="1"/>
    </xf>
    <xf numFmtId="0" fontId="10" fillId="10" borderId="20" xfId="0" applyFont="1" applyFill="1" applyBorder="1" applyAlignment="1" applyProtection="1">
      <alignment horizontal="center" vertical="center"/>
      <protection hidden="1"/>
    </xf>
    <xf numFmtId="1" fontId="10" fillId="9" borderId="32" xfId="0" applyNumberFormat="1" applyFont="1" applyFill="1" applyBorder="1" applyAlignment="1" applyProtection="1">
      <alignment horizontal="center" vertical="center"/>
      <protection locked="0"/>
    </xf>
    <xf numFmtId="166" fontId="10" fillId="7" borderId="20" xfId="0" applyNumberFormat="1" applyFont="1" applyFill="1" applyBorder="1" applyAlignment="1" applyProtection="1">
      <alignment horizontal="center" vertical="center"/>
      <protection hidden="1"/>
    </xf>
    <xf numFmtId="166" fontId="10" fillId="10" borderId="20" xfId="0" applyNumberFormat="1" applyFont="1" applyFill="1" applyBorder="1" applyAlignment="1" applyProtection="1">
      <alignment horizontal="center" vertical="center"/>
      <protection hidden="1"/>
    </xf>
    <xf numFmtId="3" fontId="10" fillId="10" borderId="20" xfId="0" applyNumberFormat="1" applyFont="1" applyFill="1" applyBorder="1" applyAlignment="1" applyProtection="1">
      <alignment horizontal="center" vertical="center"/>
      <protection hidden="1"/>
    </xf>
    <xf numFmtId="165" fontId="10" fillId="10" borderId="20" xfId="0" applyNumberFormat="1" applyFont="1" applyFill="1" applyBorder="1" applyAlignment="1" applyProtection="1">
      <alignment horizontal="center" vertical="center"/>
      <protection hidden="1"/>
    </xf>
    <xf numFmtId="166" fontId="10" fillId="10" borderId="56" xfId="0" applyNumberFormat="1" applyFont="1" applyFill="1" applyBorder="1" applyAlignment="1" applyProtection="1">
      <alignment horizontal="center" vertical="center"/>
      <protection hidden="1"/>
    </xf>
    <xf numFmtId="2" fontId="10" fillId="5" borderId="32" xfId="0" applyNumberFormat="1" applyFont="1" applyFill="1" applyBorder="1" applyAlignment="1" applyProtection="1">
      <alignment horizontal="center" vertical="center"/>
      <protection hidden="1"/>
    </xf>
    <xf numFmtId="1" fontId="10" fillId="9" borderId="8" xfId="0" applyNumberFormat="1" applyFont="1" applyFill="1" applyBorder="1" applyAlignment="1" applyProtection="1">
      <alignment horizontal="center" vertical="center"/>
      <protection locked="0"/>
    </xf>
    <xf numFmtId="0" fontId="10" fillId="10" borderId="7" xfId="0" applyFont="1" applyFill="1" applyBorder="1" applyAlignment="1" applyProtection="1">
      <alignment horizontal="left" vertical="center" indent="2"/>
      <protection hidden="1"/>
    </xf>
    <xf numFmtId="0" fontId="10" fillId="10" borderId="11" xfId="0" applyFont="1" applyFill="1" applyBorder="1" applyAlignment="1" applyProtection="1">
      <alignment horizontal="left" vertical="center" indent="2"/>
      <protection hidden="1"/>
    </xf>
    <xf numFmtId="0" fontId="33" fillId="7" borderId="47" xfId="0" applyFont="1" applyFill="1" applyBorder="1" applyAlignment="1" applyProtection="1">
      <alignment horizontal="left"/>
      <protection hidden="1"/>
    </xf>
    <xf numFmtId="0" fontId="33" fillId="7" borderId="48" xfId="0" applyFont="1" applyFill="1" applyBorder="1" applyAlignment="1" applyProtection="1">
      <alignment horizontal="left"/>
      <protection hidden="1"/>
    </xf>
    <xf numFmtId="0" fontId="33" fillId="7" borderId="59" xfId="0" applyFont="1" applyFill="1" applyBorder="1" applyAlignment="1" applyProtection="1">
      <alignment horizontal="left"/>
      <protection hidden="1"/>
    </xf>
    <xf numFmtId="169" fontId="10" fillId="5" borderId="8" xfId="0" applyNumberFormat="1" applyFont="1" applyFill="1" applyBorder="1" applyAlignment="1" applyProtection="1">
      <alignment horizontal="center" vertical="center"/>
      <protection hidden="1"/>
    </xf>
    <xf numFmtId="169" fontId="10" fillId="5" borderId="36" xfId="0" applyNumberFormat="1" applyFont="1" applyFill="1" applyBorder="1" applyAlignment="1" applyProtection="1">
      <alignment horizontal="center" vertical="center"/>
      <protection hidden="1"/>
    </xf>
    <xf numFmtId="169" fontId="10" fillId="5" borderId="5" xfId="0" applyNumberFormat="1" applyFont="1" applyFill="1" applyBorder="1" applyAlignment="1" applyProtection="1">
      <alignment horizontal="center" vertical="center"/>
      <protection hidden="1"/>
    </xf>
    <xf numFmtId="169" fontId="10" fillId="5" borderId="32" xfId="0" applyNumberFormat="1" applyFont="1" applyFill="1" applyBorder="1" applyAlignment="1" applyProtection="1">
      <alignment horizontal="center" vertical="center"/>
      <protection hidden="1"/>
    </xf>
    <xf numFmtId="169" fontId="10" fillId="5" borderId="41" xfId="0" applyNumberFormat="1" applyFont="1" applyFill="1" applyBorder="1" applyAlignment="1" applyProtection="1">
      <alignment horizontal="center" vertical="center"/>
      <protection hidden="1"/>
    </xf>
    <xf numFmtId="167" fontId="20" fillId="5" borderId="60" xfId="0" applyNumberFormat="1" applyFont="1" applyFill="1" applyBorder="1" applyAlignment="1" applyProtection="1">
      <alignment horizontal="center" vertical="center" wrapText="1"/>
      <protection hidden="1"/>
    </xf>
    <xf numFmtId="2" fontId="20" fillId="5" borderId="61" xfId="0" applyNumberFormat="1" applyFont="1" applyFill="1" applyBorder="1" applyAlignment="1" applyProtection="1">
      <alignment horizontal="center" vertical="center" wrapText="1"/>
      <protection hidden="1"/>
    </xf>
    <xf numFmtId="2" fontId="20" fillId="5" borderId="40" xfId="0" applyNumberFormat="1" applyFont="1" applyFill="1" applyBorder="1" applyAlignment="1" applyProtection="1">
      <alignment horizontal="center" vertical="center" wrapText="1"/>
      <protection hidden="1"/>
    </xf>
    <xf numFmtId="2" fontId="20" fillId="5" borderId="53" xfId="0" applyNumberFormat="1" applyFont="1" applyFill="1" applyBorder="1" applyAlignment="1" applyProtection="1">
      <alignment horizontal="center" vertical="center" wrapText="1"/>
      <protection hidden="1"/>
    </xf>
    <xf numFmtId="2" fontId="38" fillId="9" borderId="46" xfId="0" applyNumberFormat="1" applyFont="1" applyFill="1" applyBorder="1" applyAlignment="1" applyProtection="1">
      <alignment horizontal="center" vertical="center"/>
      <protection locked="0" hidden="1"/>
    </xf>
    <xf numFmtId="169" fontId="10" fillId="5" borderId="46" xfId="0" applyNumberFormat="1" applyFont="1" applyFill="1" applyBorder="1" applyAlignment="1" applyProtection="1">
      <alignment horizontal="center" vertical="center"/>
      <protection hidden="1"/>
    </xf>
    <xf numFmtId="169" fontId="10" fillId="5" borderId="42" xfId="0" applyNumberFormat="1" applyFont="1" applyFill="1" applyBorder="1" applyAlignment="1" applyProtection="1">
      <alignment horizontal="center" vertical="center"/>
      <protection hidden="1"/>
    </xf>
    <xf numFmtId="0" fontId="10" fillId="7" borderId="32" xfId="0" applyFont="1" applyFill="1" applyBorder="1" applyAlignment="1" applyProtection="1">
      <alignment horizontal="center" vertical="center"/>
      <protection hidden="1"/>
    </xf>
    <xf numFmtId="0" fontId="10" fillId="9" borderId="32" xfId="0" applyFont="1" applyFill="1" applyBorder="1" applyAlignment="1" applyProtection="1">
      <alignment horizontal="center" vertical="center"/>
      <protection locked="0"/>
    </xf>
    <xf numFmtId="166" fontId="10" fillId="9" borderId="32" xfId="0" applyNumberFormat="1" applyFont="1" applyFill="1" applyBorder="1" applyAlignment="1" applyProtection="1">
      <alignment horizontal="center" vertical="center"/>
      <protection locked="0"/>
    </xf>
    <xf numFmtId="166" fontId="10" fillId="7" borderId="32" xfId="0" applyNumberFormat="1" applyFont="1" applyFill="1" applyBorder="1" applyAlignment="1" applyProtection="1">
      <alignment horizontal="center" vertical="center"/>
      <protection hidden="1"/>
    </xf>
    <xf numFmtId="166" fontId="10" fillId="14" borderId="32" xfId="0" applyNumberFormat="1" applyFont="1" applyFill="1" applyBorder="1" applyAlignment="1" applyProtection="1">
      <alignment horizontal="center" vertical="center"/>
      <protection hidden="1"/>
    </xf>
    <xf numFmtId="3" fontId="10" fillId="14" borderId="32" xfId="0" applyNumberFormat="1" applyFont="1" applyFill="1" applyBorder="1" applyAlignment="1" applyProtection="1">
      <alignment horizontal="center" vertical="center"/>
      <protection hidden="1"/>
    </xf>
    <xf numFmtId="166" fontId="10" fillId="7" borderId="62" xfId="0" applyNumberFormat="1" applyFont="1" applyFill="1" applyBorder="1" applyAlignment="1" applyProtection="1">
      <alignment horizontal="center" vertical="center"/>
      <protection hidden="1"/>
    </xf>
    <xf numFmtId="169" fontId="10" fillId="5" borderId="62" xfId="0" applyNumberFormat="1" applyFont="1" applyFill="1" applyBorder="1" applyAlignment="1" applyProtection="1">
      <alignment horizontal="center" vertical="center"/>
      <protection hidden="1"/>
    </xf>
    <xf numFmtId="0" fontId="13" fillId="14" borderId="64" xfId="0" applyFont="1" applyFill="1" applyBorder="1" applyAlignment="1" applyProtection="1">
      <alignment vertical="center"/>
      <protection hidden="1"/>
    </xf>
    <xf numFmtId="0" fontId="10" fillId="10" borderId="57" xfId="0" applyFont="1" applyFill="1" applyBorder="1" applyAlignment="1" applyProtection="1">
      <alignment horizontal="left" vertical="center" indent="2"/>
      <protection hidden="1"/>
    </xf>
    <xf numFmtId="0" fontId="29" fillId="7" borderId="47" xfId="0" applyFont="1" applyFill="1" applyBorder="1" applyAlignment="1" applyProtection="1">
      <alignment horizontal="left" indent="1"/>
      <protection hidden="1"/>
    </xf>
    <xf numFmtId="0" fontId="29" fillId="7" borderId="48" xfId="0" applyFont="1" applyFill="1" applyBorder="1" applyAlignment="1" applyProtection="1">
      <alignment horizontal="left" indent="1"/>
      <protection hidden="1"/>
    </xf>
    <xf numFmtId="0" fontId="29" fillId="7" borderId="59" xfId="0" applyFont="1" applyFill="1" applyBorder="1" applyAlignment="1" applyProtection="1">
      <alignment horizontal="left" indent="1"/>
      <protection hidden="1"/>
    </xf>
    <xf numFmtId="0" fontId="5" fillId="0" borderId="2" xfId="0" applyFont="1" applyBorder="1"/>
    <xf numFmtId="0" fontId="5" fillId="0" borderId="31" xfId="0" applyFont="1" applyBorder="1"/>
    <xf numFmtId="0" fontId="7" fillId="0" borderId="31" xfId="0" applyFont="1" applyBorder="1" applyAlignment="1">
      <alignment horizontal="left"/>
    </xf>
    <xf numFmtId="0" fontId="6" fillId="0" borderId="2" xfId="0" applyFont="1" applyBorder="1"/>
    <xf numFmtId="0" fontId="0" fillId="3" borderId="2" xfId="0" applyFill="1" applyBorder="1"/>
    <xf numFmtId="1" fontId="10" fillId="8" borderId="0" xfId="0" applyNumberFormat="1" applyFont="1" applyFill="1" applyAlignment="1" applyProtection="1">
      <alignment horizontal="center" vertical="center"/>
      <protection hidden="1"/>
    </xf>
    <xf numFmtId="0" fontId="10" fillId="10" borderId="5" xfId="0" applyFont="1" applyFill="1" applyBorder="1" applyAlignment="1" applyProtection="1">
      <alignment horizontal="left" vertical="center" indent="1"/>
      <protection hidden="1"/>
    </xf>
    <xf numFmtId="3" fontId="10" fillId="8" borderId="5" xfId="0" applyNumberFormat="1" applyFont="1" applyFill="1" applyBorder="1" applyAlignment="1" applyProtection="1">
      <alignment horizontal="right" vertical="center" indent="1"/>
      <protection hidden="1"/>
    </xf>
    <xf numFmtId="166" fontId="29" fillId="21" borderId="5" xfId="0" applyNumberFormat="1" applyFont="1" applyFill="1" applyBorder="1" applyAlignment="1" applyProtection="1">
      <alignment horizontal="right" indent="1"/>
      <protection hidden="1"/>
    </xf>
    <xf numFmtId="166" fontId="29" fillId="10" borderId="5" xfId="0" applyNumberFormat="1" applyFont="1" applyFill="1" applyBorder="1" applyAlignment="1" applyProtection="1">
      <alignment horizontal="right" indent="1"/>
      <protection hidden="1"/>
    </xf>
    <xf numFmtId="166" fontId="10" fillId="10" borderId="5" xfId="0" applyNumberFormat="1" applyFont="1" applyFill="1" applyBorder="1" applyAlignment="1" applyProtection="1">
      <alignment horizontal="right" indent="1"/>
      <protection hidden="1"/>
    </xf>
    <xf numFmtId="0" fontId="10" fillId="10" borderId="39" xfId="0" applyFont="1" applyFill="1" applyBorder="1" applyAlignment="1" applyProtection="1">
      <alignment horizontal="left" vertical="center" indent="1"/>
      <protection hidden="1"/>
    </xf>
    <xf numFmtId="0" fontId="10" fillId="10" borderId="46" xfId="0" applyFont="1" applyFill="1" applyBorder="1" applyAlignment="1" applyProtection="1">
      <alignment horizontal="left" vertical="center" indent="1"/>
      <protection hidden="1"/>
    </xf>
    <xf numFmtId="3" fontId="10" fillId="8" borderId="46" xfId="0" applyNumberFormat="1" applyFont="1" applyFill="1" applyBorder="1" applyAlignment="1" applyProtection="1">
      <alignment horizontal="right" vertical="center" indent="1"/>
      <protection hidden="1"/>
    </xf>
    <xf numFmtId="166" fontId="29" fillId="21" borderId="46" xfId="0" applyNumberFormat="1" applyFont="1" applyFill="1" applyBorder="1" applyAlignment="1" applyProtection="1">
      <alignment horizontal="right" indent="1"/>
      <protection hidden="1"/>
    </xf>
    <xf numFmtId="166" fontId="29" fillId="10" borderId="46" xfId="0" applyNumberFormat="1" applyFont="1" applyFill="1" applyBorder="1" applyAlignment="1" applyProtection="1">
      <alignment horizontal="right" indent="1"/>
      <protection hidden="1"/>
    </xf>
    <xf numFmtId="166" fontId="10" fillId="10" borderId="46" xfId="0" applyNumberFormat="1" applyFont="1" applyFill="1" applyBorder="1" applyAlignment="1" applyProtection="1">
      <alignment horizontal="right" indent="1"/>
      <protection hidden="1"/>
    </xf>
    <xf numFmtId="166" fontId="10" fillId="10" borderId="41" xfId="0" applyNumberFormat="1" applyFont="1" applyFill="1" applyBorder="1" applyAlignment="1" applyProtection="1">
      <alignment horizontal="right" indent="1"/>
      <protection hidden="1"/>
    </xf>
    <xf numFmtId="0" fontId="10" fillId="10" borderId="35" xfId="0" applyFont="1" applyFill="1" applyBorder="1" applyAlignment="1" applyProtection="1">
      <alignment horizontal="left" vertical="center" indent="1"/>
      <protection hidden="1"/>
    </xf>
    <xf numFmtId="166" fontId="10" fillId="10" borderId="42" xfId="0" applyNumberFormat="1" applyFont="1" applyFill="1" applyBorder="1" applyAlignment="1" applyProtection="1">
      <alignment horizontal="right" indent="1"/>
      <protection hidden="1"/>
    </xf>
    <xf numFmtId="0" fontId="10" fillId="10" borderId="43" xfId="0" applyFont="1" applyFill="1" applyBorder="1" applyAlignment="1" applyProtection="1">
      <alignment horizontal="left" vertical="center" indent="1"/>
      <protection hidden="1"/>
    </xf>
    <xf numFmtId="0" fontId="10" fillId="10" borderId="50" xfId="0" applyFont="1" applyFill="1" applyBorder="1" applyAlignment="1" applyProtection="1">
      <alignment horizontal="left" vertical="center" indent="1"/>
      <protection hidden="1"/>
    </xf>
    <xf numFmtId="3" fontId="10" fillId="8" borderId="50" xfId="0" applyNumberFormat="1" applyFont="1" applyFill="1" applyBorder="1" applyAlignment="1" applyProtection="1">
      <alignment horizontal="right" vertical="center" indent="1"/>
      <protection hidden="1"/>
    </xf>
    <xf numFmtId="166" fontId="29" fillId="21" borderId="50" xfId="0" applyNumberFormat="1" applyFont="1" applyFill="1" applyBorder="1" applyAlignment="1" applyProtection="1">
      <alignment horizontal="right" indent="1"/>
      <protection hidden="1"/>
    </xf>
    <xf numFmtId="166" fontId="29" fillId="10" borderId="50" xfId="0" applyNumberFormat="1" applyFont="1" applyFill="1" applyBorder="1" applyAlignment="1" applyProtection="1">
      <alignment horizontal="right" indent="1"/>
      <protection hidden="1"/>
    </xf>
    <xf numFmtId="166" fontId="10" fillId="10" borderId="50" xfId="0" applyNumberFormat="1" applyFont="1" applyFill="1" applyBorder="1" applyAlignment="1" applyProtection="1">
      <alignment horizontal="right" indent="1"/>
      <protection hidden="1"/>
    </xf>
    <xf numFmtId="166" fontId="10" fillId="10" borderId="45" xfId="0" applyNumberFormat="1" applyFont="1" applyFill="1" applyBorder="1" applyAlignment="1" applyProtection="1">
      <alignment horizontal="right" indent="1"/>
      <protection hidden="1"/>
    </xf>
    <xf numFmtId="0" fontId="7" fillId="4" borderId="49" xfId="0" applyFont="1" applyFill="1" applyBorder="1" applyAlignment="1">
      <alignment horizontal="left"/>
    </xf>
    <xf numFmtId="4" fontId="46" fillId="0" borderId="0" xfId="0" applyNumberFormat="1" applyFont="1"/>
    <xf numFmtId="4" fontId="5" fillId="0" borderId="0" xfId="0" applyNumberFormat="1" applyFont="1"/>
    <xf numFmtId="172" fontId="5" fillId="0" borderId="0" xfId="0" applyNumberFormat="1" applyFont="1"/>
    <xf numFmtId="4" fontId="0" fillId="0" borderId="0" xfId="0" applyNumberFormat="1"/>
    <xf numFmtId="0" fontId="1" fillId="0" borderId="2" xfId="5" applyFont="1" applyFill="1" applyBorder="1" applyAlignment="1">
      <alignment horizontal="left"/>
    </xf>
    <xf numFmtId="0" fontId="1" fillId="0" borderId="2" xfId="5" applyFont="1" applyFill="1" applyBorder="1"/>
    <xf numFmtId="0" fontId="5" fillId="0" borderId="0" xfId="0" applyFont="1" applyAlignment="1">
      <alignment horizontal="center" vertical="center"/>
    </xf>
    <xf numFmtId="0" fontId="0" fillId="0" borderId="31" xfId="0" applyBorder="1" applyAlignment="1">
      <alignment horizontal="center" vertical="center"/>
    </xf>
    <xf numFmtId="169" fontId="0" fillId="0" borderId="56" xfId="0" applyNumberFormat="1" applyBorder="1"/>
    <xf numFmtId="10" fontId="5" fillId="0" borderId="0" xfId="0" applyNumberFormat="1" applyFont="1"/>
    <xf numFmtId="10" fontId="0" fillId="0" borderId="31" xfId="0" applyNumberFormat="1" applyBorder="1"/>
    <xf numFmtId="0" fontId="2" fillId="4" borderId="31" xfId="2" applyFill="1" applyBorder="1"/>
    <xf numFmtId="169" fontId="5" fillId="0" borderId="0" xfId="7" applyNumberFormat="1" applyFont="1"/>
    <xf numFmtId="0" fontId="10" fillId="10" borderId="55" xfId="0" applyFont="1" applyFill="1" applyBorder="1" applyAlignment="1" applyProtection="1">
      <alignment horizontal="left" vertical="center" indent="1"/>
      <protection hidden="1"/>
    </xf>
    <xf numFmtId="0" fontId="10" fillId="10" borderId="8" xfId="0" applyFont="1" applyFill="1" applyBorder="1" applyAlignment="1" applyProtection="1">
      <alignment horizontal="left" vertical="center" indent="1"/>
      <protection hidden="1"/>
    </xf>
    <xf numFmtId="3" fontId="10" fillId="8" borderId="8" xfId="0" applyNumberFormat="1" applyFont="1" applyFill="1" applyBorder="1" applyAlignment="1" applyProtection="1">
      <alignment horizontal="right" vertical="center" indent="1"/>
      <protection hidden="1"/>
    </xf>
    <xf numFmtId="166" fontId="29" fillId="10" borderId="8" xfId="0" applyNumberFormat="1" applyFont="1" applyFill="1" applyBorder="1" applyAlignment="1" applyProtection="1">
      <alignment horizontal="right" indent="1"/>
      <protection hidden="1"/>
    </xf>
    <xf numFmtId="166" fontId="10" fillId="10" borderId="8" xfId="0" applyNumberFormat="1" applyFont="1" applyFill="1" applyBorder="1" applyAlignment="1" applyProtection="1">
      <alignment horizontal="right" indent="1"/>
      <protection hidden="1"/>
    </xf>
    <xf numFmtId="166" fontId="10" fillId="10" borderId="36" xfId="0" applyNumberFormat="1" applyFont="1" applyFill="1" applyBorder="1" applyAlignment="1" applyProtection="1">
      <alignment horizontal="right" indent="1"/>
      <protection hidden="1"/>
    </xf>
    <xf numFmtId="170" fontId="0" fillId="0" borderId="0" xfId="0" applyNumberFormat="1" applyAlignment="1">
      <alignment horizontal="center" vertical="center"/>
    </xf>
    <xf numFmtId="4" fontId="0" fillId="0" borderId="0" xfId="0" applyNumberFormat="1" applyAlignment="1">
      <alignment horizontal="center" vertical="center"/>
    </xf>
    <xf numFmtId="169" fontId="47" fillId="25" borderId="31" xfId="7" applyNumberFormat="1" applyFont="1" applyFill="1" applyBorder="1"/>
    <xf numFmtId="169" fontId="48" fillId="0" borderId="0" xfId="0" applyNumberFormat="1" applyFont="1"/>
    <xf numFmtId="0" fontId="7" fillId="0" borderId="65" xfId="0" applyFont="1" applyBorder="1" applyAlignment="1">
      <alignment horizontal="left"/>
    </xf>
    <xf numFmtId="8" fontId="46" fillId="26" borderId="0" xfId="0" applyNumberFormat="1" applyFont="1" applyFill="1"/>
    <xf numFmtId="4" fontId="10" fillId="7" borderId="5" xfId="0" applyNumberFormat="1" applyFont="1" applyFill="1" applyBorder="1" applyAlignment="1" applyProtection="1">
      <alignment horizontal="center" vertical="center"/>
      <protection hidden="1"/>
    </xf>
    <xf numFmtId="0" fontId="10" fillId="7" borderId="6" xfId="0" applyFont="1" applyFill="1" applyBorder="1" applyAlignment="1" applyProtection="1">
      <alignment horizontal="left" vertical="center" indent="6"/>
      <protection hidden="1"/>
    </xf>
    <xf numFmtId="0" fontId="10" fillId="7" borderId="24" xfId="0" applyFont="1" applyFill="1" applyBorder="1" applyAlignment="1" applyProtection="1">
      <alignment horizontal="left" vertical="center" indent="6"/>
      <protection hidden="1"/>
    </xf>
    <xf numFmtId="0" fontId="10" fillId="7" borderId="7" xfId="0" applyFont="1" applyFill="1" applyBorder="1" applyAlignment="1" applyProtection="1">
      <alignment horizontal="left" vertical="center" indent="6"/>
      <protection hidden="1"/>
    </xf>
    <xf numFmtId="0" fontId="10" fillId="7" borderId="6" xfId="0" applyFont="1" applyFill="1" applyBorder="1" applyAlignment="1" applyProtection="1">
      <alignment horizontal="left" vertical="center" indent="1"/>
      <protection hidden="1"/>
    </xf>
    <xf numFmtId="0" fontId="10" fillId="7" borderId="24" xfId="0" applyFont="1" applyFill="1" applyBorder="1" applyAlignment="1" applyProtection="1">
      <alignment horizontal="left" vertical="center" indent="1"/>
      <protection hidden="1"/>
    </xf>
    <xf numFmtId="0" fontId="10" fillId="7" borderId="7" xfId="0" applyFont="1" applyFill="1" applyBorder="1" applyAlignment="1" applyProtection="1">
      <alignment horizontal="left" vertical="center" indent="1"/>
      <protection hidden="1"/>
    </xf>
    <xf numFmtId="0" fontId="10" fillId="0" borderId="6" xfId="0" applyFont="1" applyBorder="1" applyAlignment="1" applyProtection="1">
      <alignment horizontal="left" vertical="center" indent="1"/>
      <protection hidden="1"/>
    </xf>
    <xf numFmtId="0" fontId="10" fillId="0" borderId="24" xfId="0" applyFont="1" applyBorder="1" applyAlignment="1" applyProtection="1">
      <alignment horizontal="left" vertical="center" indent="1"/>
      <protection hidden="1"/>
    </xf>
    <xf numFmtId="0" fontId="10" fillId="0" borderId="7" xfId="0" applyFont="1" applyBorder="1" applyAlignment="1" applyProtection="1">
      <alignment horizontal="left" vertical="center" indent="1"/>
      <protection hidden="1"/>
    </xf>
    <xf numFmtId="166" fontId="13" fillId="16" borderId="6" xfId="0" applyNumberFormat="1" applyFont="1" applyFill="1" applyBorder="1" applyAlignment="1" applyProtection="1">
      <alignment horizontal="right" vertical="center" indent="3"/>
      <protection hidden="1"/>
    </xf>
    <xf numFmtId="166" fontId="13" fillId="16" borderId="7" xfId="0" applyNumberFormat="1" applyFont="1" applyFill="1" applyBorder="1" applyAlignment="1" applyProtection="1">
      <alignment horizontal="right" vertical="center" indent="3"/>
      <protection hidden="1"/>
    </xf>
    <xf numFmtId="166" fontId="10" fillId="5" borderId="5" xfId="0" quotePrefix="1" applyNumberFormat="1" applyFont="1" applyFill="1" applyBorder="1" applyAlignment="1" applyProtection="1">
      <alignment horizontal="center" vertical="center" wrapText="1"/>
      <protection hidden="1"/>
    </xf>
    <xf numFmtId="168" fontId="10" fillId="7" borderId="5" xfId="1" applyNumberFormat="1" applyFont="1" applyFill="1" applyBorder="1" applyAlignment="1" applyProtection="1">
      <alignment horizontal="center" vertical="center"/>
      <protection hidden="1"/>
    </xf>
    <xf numFmtId="2" fontId="20" fillId="5" borderId="46" xfId="0" applyNumberFormat="1" applyFont="1" applyFill="1" applyBorder="1" applyAlignment="1" applyProtection="1">
      <alignment horizontal="center" vertical="center" wrapText="1"/>
      <protection hidden="1"/>
    </xf>
    <xf numFmtId="2" fontId="13" fillId="5" borderId="5" xfId="0" applyNumberFormat="1" applyFont="1" applyFill="1" applyBorder="1" applyAlignment="1" applyProtection="1">
      <alignment horizontal="center" vertical="center" wrapText="1"/>
      <protection hidden="1"/>
    </xf>
    <xf numFmtId="2" fontId="13" fillId="5" borderId="50" xfId="0" applyNumberFormat="1" applyFont="1" applyFill="1" applyBorder="1" applyAlignment="1" applyProtection="1">
      <alignment horizontal="center" vertical="center" wrapText="1"/>
      <protection hidden="1"/>
    </xf>
    <xf numFmtId="166" fontId="20" fillId="13" borderId="46" xfId="0" applyNumberFormat="1" applyFont="1" applyFill="1" applyBorder="1" applyAlignment="1" applyProtection="1">
      <alignment horizontal="center" vertical="center" wrapText="1"/>
      <protection hidden="1"/>
    </xf>
    <xf numFmtId="166" fontId="13" fillId="13" borderId="5" xfId="0" applyNumberFormat="1" applyFont="1" applyFill="1" applyBorder="1" applyAlignment="1" applyProtection="1">
      <alignment horizontal="center" vertical="center" wrapText="1"/>
      <protection hidden="1"/>
    </xf>
    <xf numFmtId="166" fontId="13" fillId="13" borderId="50" xfId="0" applyNumberFormat="1" applyFont="1" applyFill="1" applyBorder="1" applyAlignment="1" applyProtection="1">
      <alignment horizontal="center" vertical="center" wrapText="1"/>
      <protection hidden="1"/>
    </xf>
    <xf numFmtId="166" fontId="20" fillId="13" borderId="40" xfId="0" applyNumberFormat="1" applyFont="1" applyFill="1" applyBorder="1" applyAlignment="1" applyProtection="1">
      <alignment horizontal="center" vertical="center" wrapText="1"/>
      <protection hidden="1"/>
    </xf>
    <xf numFmtId="166" fontId="20" fillId="13" borderId="20" xfId="0" applyNumberFormat="1" applyFont="1" applyFill="1" applyBorder="1" applyAlignment="1" applyProtection="1">
      <alignment horizontal="center" vertical="center" wrapText="1"/>
      <protection hidden="1"/>
    </xf>
    <xf numFmtId="166" fontId="20" fillId="13" borderId="44" xfId="0" applyNumberFormat="1" applyFont="1" applyFill="1" applyBorder="1" applyAlignment="1" applyProtection="1">
      <alignment horizontal="center" vertical="center" wrapText="1"/>
      <protection hidden="1"/>
    </xf>
    <xf numFmtId="166" fontId="20" fillId="13" borderId="41" xfId="0" applyNumberFormat="1" applyFont="1" applyFill="1" applyBorder="1" applyAlignment="1" applyProtection="1">
      <alignment horizontal="center" vertical="center" wrapText="1"/>
      <protection hidden="1"/>
    </xf>
    <xf numFmtId="166" fontId="13" fillId="13" borderId="42" xfId="0" applyNumberFormat="1" applyFont="1" applyFill="1" applyBorder="1" applyAlignment="1" applyProtection="1">
      <alignment horizontal="center" vertical="center" wrapText="1"/>
      <protection hidden="1"/>
    </xf>
    <xf numFmtId="166" fontId="13" fillId="13" borderId="45" xfId="0" applyNumberFormat="1" applyFont="1" applyFill="1" applyBorder="1" applyAlignment="1" applyProtection="1">
      <alignment horizontal="center" vertical="center" wrapText="1"/>
      <protection hidden="1"/>
    </xf>
    <xf numFmtId="167" fontId="20" fillId="5" borderId="39" xfId="0" applyNumberFormat="1" applyFont="1" applyFill="1" applyBorder="1" applyAlignment="1" applyProtection="1">
      <alignment horizontal="center" vertical="center" wrapText="1"/>
      <protection hidden="1"/>
    </xf>
    <xf numFmtId="167" fontId="20" fillId="5" borderId="35" xfId="0" applyNumberFormat="1" applyFont="1" applyFill="1" applyBorder="1" applyAlignment="1" applyProtection="1">
      <alignment horizontal="center" vertical="center" wrapText="1"/>
      <protection hidden="1"/>
    </xf>
    <xf numFmtId="167" fontId="20" fillId="5" borderId="43" xfId="0" applyNumberFormat="1" applyFont="1" applyFill="1" applyBorder="1" applyAlignment="1" applyProtection="1">
      <alignment horizontal="center" vertical="center" wrapText="1"/>
      <protection hidden="1"/>
    </xf>
    <xf numFmtId="2" fontId="20" fillId="5" borderId="5" xfId="0" applyNumberFormat="1" applyFont="1" applyFill="1" applyBorder="1" applyAlignment="1" applyProtection="1">
      <alignment horizontal="center" vertical="center" wrapText="1"/>
      <protection hidden="1"/>
    </xf>
    <xf numFmtId="2" fontId="20" fillId="5" borderId="50" xfId="0" applyNumberFormat="1" applyFont="1" applyFill="1" applyBorder="1" applyAlignment="1" applyProtection="1">
      <alignment horizontal="center" vertical="center" wrapText="1"/>
      <protection hidden="1"/>
    </xf>
    <xf numFmtId="0" fontId="11" fillId="22" borderId="0" xfId="0" applyFont="1" applyFill="1" applyAlignment="1" applyProtection="1">
      <alignment horizontal="left" vertical="center" wrapText="1"/>
      <protection hidden="1"/>
    </xf>
    <xf numFmtId="1" fontId="14" fillId="9" borderId="6" xfId="0" applyNumberFormat="1" applyFont="1" applyFill="1" applyBorder="1" applyAlignment="1" applyProtection="1">
      <alignment horizontal="center" vertical="center" wrapText="1"/>
      <protection locked="0"/>
    </xf>
    <xf numFmtId="1" fontId="14" fillId="9" borderId="7" xfId="0" applyNumberFormat="1" applyFont="1" applyFill="1" applyBorder="1" applyAlignment="1" applyProtection="1">
      <alignment horizontal="center" vertical="center" wrapText="1"/>
      <protection locked="0"/>
    </xf>
    <xf numFmtId="166" fontId="13" fillId="8" borderId="19" xfId="0" applyNumberFormat="1" applyFont="1" applyFill="1" applyBorder="1" applyAlignment="1" applyProtection="1">
      <alignment horizontal="right" vertical="center" indent="1"/>
      <protection hidden="1"/>
    </xf>
    <xf numFmtId="166" fontId="10" fillId="22" borderId="0" xfId="0" applyNumberFormat="1" applyFont="1" applyFill="1" applyAlignment="1" applyProtection="1">
      <alignment horizontal="center"/>
      <protection hidden="1"/>
    </xf>
    <xf numFmtId="0" fontId="4" fillId="13" borderId="5" xfId="0" applyFont="1" applyFill="1" applyBorder="1" applyAlignment="1" applyProtection="1">
      <alignment horizontal="center" vertical="center"/>
      <protection hidden="1"/>
    </xf>
    <xf numFmtId="0" fontId="4" fillId="13" borderId="5" xfId="0" applyFont="1" applyFill="1" applyBorder="1" applyAlignment="1" applyProtection="1">
      <alignment horizontal="center" vertical="center" wrapText="1"/>
      <protection hidden="1"/>
    </xf>
    <xf numFmtId="167" fontId="20" fillId="5" borderId="47" xfId="0" applyNumberFormat="1" applyFont="1" applyFill="1" applyBorder="1" applyAlignment="1" applyProtection="1">
      <alignment horizontal="center" vertical="center" wrapText="1"/>
      <protection hidden="1"/>
    </xf>
    <xf numFmtId="167" fontId="13" fillId="5" borderId="48" xfId="0" applyNumberFormat="1" applyFont="1" applyFill="1" applyBorder="1" applyAlignment="1" applyProtection="1">
      <alignment horizontal="center" vertical="center" wrapText="1"/>
      <protection hidden="1"/>
    </xf>
    <xf numFmtId="167" fontId="13" fillId="5" borderId="63" xfId="0" applyNumberFormat="1" applyFont="1" applyFill="1" applyBorder="1" applyAlignment="1" applyProtection="1">
      <alignment horizontal="center" vertical="center" wrapText="1"/>
      <protection hidden="1"/>
    </xf>
    <xf numFmtId="0" fontId="20" fillId="13" borderId="57" xfId="0" applyFont="1" applyFill="1" applyBorder="1" applyAlignment="1" applyProtection="1">
      <alignment horizontal="center" vertical="center"/>
      <protection hidden="1"/>
    </xf>
    <xf numFmtId="0" fontId="13" fillId="13" borderId="7" xfId="0" applyFont="1" applyFill="1" applyBorder="1" applyAlignment="1" applyProtection="1">
      <alignment horizontal="center" vertical="center" wrapText="1"/>
      <protection hidden="1"/>
    </xf>
    <xf numFmtId="0" fontId="13" fillId="13" borderId="58" xfId="0" applyFont="1" applyFill="1" applyBorder="1" applyAlignment="1" applyProtection="1">
      <alignment horizontal="center" vertical="center" wrapText="1"/>
      <protection hidden="1"/>
    </xf>
    <xf numFmtId="0" fontId="20" fillId="13" borderId="46" xfId="0" applyFont="1" applyFill="1" applyBorder="1" applyAlignment="1" applyProtection="1">
      <alignment horizontal="center" vertical="center"/>
      <protection hidden="1"/>
    </xf>
    <xf numFmtId="0" fontId="13" fillId="13" borderId="5" xfId="0" applyFont="1" applyFill="1" applyBorder="1" applyAlignment="1" applyProtection="1">
      <alignment horizontal="center" vertical="center" wrapText="1"/>
      <protection hidden="1"/>
    </xf>
    <xf numFmtId="0" fontId="13" fillId="13" borderId="50" xfId="0" applyFont="1" applyFill="1" applyBorder="1" applyAlignment="1" applyProtection="1">
      <alignment horizontal="center" vertical="center" wrapText="1"/>
      <protection hidden="1"/>
    </xf>
    <xf numFmtId="1" fontId="20" fillId="13" borderId="46" xfId="0" applyNumberFormat="1" applyFont="1" applyFill="1" applyBorder="1" applyAlignment="1" applyProtection="1">
      <alignment horizontal="center" vertical="center"/>
      <protection hidden="1"/>
    </xf>
    <xf numFmtId="1" fontId="13" fillId="2" borderId="5" xfId="0" applyNumberFormat="1" applyFont="1" applyFill="1" applyBorder="1" applyAlignment="1" applyProtection="1">
      <alignment horizontal="center" vertical="center" wrapText="1"/>
      <protection hidden="1"/>
    </xf>
    <xf numFmtId="1" fontId="13" fillId="2" borderId="50" xfId="0" applyNumberFormat="1" applyFont="1" applyFill="1" applyBorder="1" applyAlignment="1" applyProtection="1">
      <alignment horizontal="center" vertical="center" wrapText="1"/>
      <protection hidden="1"/>
    </xf>
    <xf numFmtId="171" fontId="10" fillId="7" borderId="5" xfId="1" applyNumberFormat="1" applyFont="1" applyFill="1" applyBorder="1" applyAlignment="1" applyProtection="1">
      <alignment horizontal="center" vertical="center"/>
      <protection hidden="1"/>
    </xf>
    <xf numFmtId="2" fontId="20" fillId="5" borderId="41" xfId="0" applyNumberFormat="1" applyFont="1" applyFill="1" applyBorder="1" applyAlignment="1" applyProtection="1">
      <alignment horizontal="center" vertical="center" wrapText="1"/>
      <protection hidden="1"/>
    </xf>
    <xf numFmtId="2" fontId="13" fillId="5" borderId="42" xfId="0" applyNumberFormat="1" applyFont="1" applyFill="1" applyBorder="1" applyAlignment="1" applyProtection="1">
      <alignment horizontal="center" vertical="center" wrapText="1"/>
      <protection hidden="1"/>
    </xf>
    <xf numFmtId="2" fontId="13" fillId="5" borderId="45" xfId="0" applyNumberFormat="1" applyFont="1" applyFill="1" applyBorder="1" applyAlignment="1" applyProtection="1">
      <alignment horizontal="center" vertical="center" wrapText="1"/>
      <protection hidden="1"/>
    </xf>
    <xf numFmtId="166" fontId="10" fillId="5" borderId="6" xfId="0" quotePrefix="1" applyNumberFormat="1" applyFont="1" applyFill="1" applyBorder="1" applyAlignment="1" applyProtection="1">
      <alignment horizontal="center" vertical="center"/>
      <protection hidden="1"/>
    </xf>
    <xf numFmtId="166" fontId="10" fillId="5" borderId="7" xfId="0" quotePrefix="1" applyNumberFormat="1" applyFont="1" applyFill="1" applyBorder="1" applyAlignment="1" applyProtection="1">
      <alignment horizontal="center" vertical="center"/>
      <protection hidden="1"/>
    </xf>
    <xf numFmtId="168" fontId="10" fillId="7" borderId="6" xfId="0" applyNumberFormat="1" applyFont="1" applyFill="1" applyBorder="1" applyAlignment="1" applyProtection="1">
      <alignment horizontal="center" vertical="center"/>
      <protection hidden="1"/>
    </xf>
    <xf numFmtId="168" fontId="10" fillId="7" borderId="7" xfId="0" applyNumberFormat="1" applyFont="1" applyFill="1" applyBorder="1" applyAlignment="1" applyProtection="1">
      <alignment horizontal="center" vertical="center"/>
      <protection hidden="1"/>
    </xf>
    <xf numFmtId="0" fontId="27" fillId="17" borderId="25" xfId="0" applyFont="1" applyFill="1" applyBorder="1" applyAlignment="1" applyProtection="1">
      <alignment horizontal="center" vertical="center"/>
      <protection hidden="1"/>
    </xf>
    <xf numFmtId="0" fontId="27" fillId="17" borderId="26" xfId="0" applyFont="1" applyFill="1" applyBorder="1" applyAlignment="1" applyProtection="1">
      <alignment horizontal="center" vertical="center"/>
      <protection hidden="1"/>
    </xf>
    <xf numFmtId="0" fontId="27" fillId="17" borderId="27" xfId="0" applyFont="1" applyFill="1" applyBorder="1" applyAlignment="1" applyProtection="1">
      <alignment horizontal="center" vertical="center"/>
      <protection hidden="1"/>
    </xf>
    <xf numFmtId="0" fontId="23" fillId="7" borderId="0" xfId="0" applyFont="1" applyFill="1" applyAlignment="1" applyProtection="1">
      <alignment horizontal="center"/>
      <protection hidden="1"/>
    </xf>
    <xf numFmtId="0" fontId="10" fillId="7" borderId="0" xfId="0" applyFont="1" applyFill="1" applyAlignment="1" applyProtection="1">
      <alignment horizontal="left" vertical="top" wrapText="1"/>
      <protection hidden="1"/>
    </xf>
    <xf numFmtId="166" fontId="10" fillId="7" borderId="6" xfId="0" applyNumberFormat="1" applyFont="1" applyFill="1" applyBorder="1" applyAlignment="1" applyProtection="1">
      <alignment horizontal="right" vertical="center" indent="3"/>
      <protection hidden="1"/>
    </xf>
    <xf numFmtId="166" fontId="10" fillId="7" borderId="7" xfId="0" applyNumberFormat="1" applyFont="1" applyFill="1" applyBorder="1" applyAlignment="1" applyProtection="1">
      <alignment horizontal="right" vertical="center" indent="3"/>
      <protection hidden="1"/>
    </xf>
    <xf numFmtId="0" fontId="19" fillId="15" borderId="6" xfId="0" applyFont="1" applyFill="1" applyBorder="1" applyAlignment="1" applyProtection="1">
      <alignment horizontal="left" vertical="center" indent="4"/>
      <protection hidden="1"/>
    </xf>
    <xf numFmtId="0" fontId="19" fillId="15" borderId="24" xfId="0" applyFont="1" applyFill="1" applyBorder="1" applyAlignment="1" applyProtection="1">
      <alignment horizontal="left" vertical="center" indent="4"/>
      <protection hidden="1"/>
    </xf>
    <xf numFmtId="0" fontId="19" fillId="15" borderId="7" xfId="0" applyFont="1" applyFill="1" applyBorder="1" applyAlignment="1" applyProtection="1">
      <alignment horizontal="left" vertical="center" indent="4"/>
      <protection hidden="1"/>
    </xf>
    <xf numFmtId="168" fontId="19" fillId="15" borderId="6" xfId="1" applyNumberFormat="1" applyFont="1" applyFill="1" applyBorder="1" applyAlignment="1" applyProtection="1">
      <alignment horizontal="center" vertical="center"/>
      <protection hidden="1"/>
    </xf>
    <xf numFmtId="168" fontId="19" fillId="15" borderId="7" xfId="1" applyNumberFormat="1" applyFont="1" applyFill="1" applyBorder="1" applyAlignment="1" applyProtection="1">
      <alignment horizontal="center" vertical="center"/>
      <protection hidden="1"/>
    </xf>
    <xf numFmtId="0" fontId="10" fillId="8" borderId="6" xfId="0" applyFont="1" applyFill="1" applyBorder="1" applyAlignment="1" applyProtection="1">
      <alignment horizontal="center" vertical="center" wrapText="1"/>
      <protection hidden="1"/>
    </xf>
    <xf numFmtId="0" fontId="10" fillId="8" borderId="24" xfId="0" applyFont="1" applyFill="1" applyBorder="1" applyAlignment="1" applyProtection="1">
      <alignment horizontal="center" vertical="center" wrapText="1"/>
      <protection hidden="1"/>
    </xf>
    <xf numFmtId="0" fontId="10" fillId="8" borderId="7" xfId="0" applyFont="1" applyFill="1" applyBorder="1" applyAlignment="1" applyProtection="1">
      <alignment horizontal="center" vertical="center" wrapText="1"/>
      <protection hidden="1"/>
    </xf>
    <xf numFmtId="1" fontId="23" fillId="0" borderId="12" xfId="0" applyNumberFormat="1" applyFont="1" applyBorder="1" applyAlignment="1" applyProtection="1">
      <alignment horizontal="left" vertical="center" wrapText="1"/>
      <protection hidden="1"/>
    </xf>
    <xf numFmtId="0" fontId="23" fillId="0" borderId="28" xfId="0" applyFont="1" applyBorder="1" applyAlignment="1" applyProtection="1">
      <alignment horizontal="left" vertical="center" wrapText="1"/>
      <protection hidden="1"/>
    </xf>
    <xf numFmtId="0" fontId="23" fillId="0" borderId="11" xfId="0" applyFont="1" applyBorder="1" applyAlignment="1" applyProtection="1">
      <alignment horizontal="left" vertical="center" wrapText="1"/>
      <protection hidden="1"/>
    </xf>
    <xf numFmtId="0" fontId="10" fillId="7" borderId="6" xfId="0" applyFont="1" applyFill="1" applyBorder="1" applyAlignment="1" applyProtection="1">
      <alignment vertical="center"/>
      <protection hidden="1"/>
    </xf>
    <xf numFmtId="0" fontId="10" fillId="7" borderId="24" xfId="0" applyFont="1" applyFill="1" applyBorder="1" applyAlignment="1" applyProtection="1">
      <alignment vertical="center"/>
      <protection hidden="1"/>
    </xf>
    <xf numFmtId="0" fontId="10" fillId="7" borderId="7" xfId="0" applyFont="1" applyFill="1" applyBorder="1" applyAlignment="1" applyProtection="1">
      <alignment vertical="center"/>
      <protection hidden="1"/>
    </xf>
    <xf numFmtId="0" fontId="10" fillId="14" borderId="6" xfId="0" applyFont="1" applyFill="1" applyBorder="1" applyAlignment="1" applyProtection="1">
      <alignment horizontal="left" vertical="center" indent="3"/>
      <protection hidden="1"/>
    </xf>
    <xf numFmtId="0" fontId="10" fillId="14" borderId="24" xfId="0" applyFont="1" applyFill="1" applyBorder="1" applyAlignment="1" applyProtection="1">
      <alignment horizontal="left" vertical="center" indent="3"/>
      <protection hidden="1"/>
    </xf>
    <xf numFmtId="0" fontId="10" fillId="14" borderId="7" xfId="0" applyFont="1" applyFill="1" applyBorder="1" applyAlignment="1" applyProtection="1">
      <alignment horizontal="left" vertical="center" indent="3"/>
      <protection hidden="1"/>
    </xf>
    <xf numFmtId="0" fontId="43" fillId="0" borderId="37" xfId="0" applyFont="1" applyBorder="1" applyAlignment="1">
      <alignment horizontal="center" vertical="center"/>
    </xf>
    <xf numFmtId="0" fontId="44" fillId="0" borderId="33" xfId="0" applyFont="1" applyBorder="1" applyAlignment="1">
      <alignment horizontal="center" vertical="center"/>
    </xf>
    <xf numFmtId="0" fontId="43" fillId="0" borderId="38" xfId="0" applyFont="1" applyBorder="1" applyAlignment="1">
      <alignment horizontal="center" vertical="center" wrapText="1"/>
    </xf>
    <xf numFmtId="0" fontId="43" fillId="0" borderId="34" xfId="0" applyFont="1" applyBorder="1" applyAlignment="1">
      <alignment horizontal="center" vertical="center"/>
    </xf>
    <xf numFmtId="166" fontId="20" fillId="8" borderId="41" xfId="0" applyNumberFormat="1" applyFont="1" applyFill="1" applyBorder="1" applyAlignment="1" applyProtection="1">
      <alignment horizontal="center" vertical="center" wrapText="1"/>
      <protection hidden="1"/>
    </xf>
    <xf numFmtId="166" fontId="13" fillId="8" borderId="42" xfId="0" applyNumberFormat="1" applyFont="1" applyFill="1" applyBorder="1" applyAlignment="1" applyProtection="1">
      <alignment horizontal="center" vertical="center" wrapText="1"/>
      <protection hidden="1"/>
    </xf>
    <xf numFmtId="166" fontId="13" fillId="8" borderId="45" xfId="0" applyNumberFormat="1" applyFont="1" applyFill="1" applyBorder="1" applyAlignment="1" applyProtection="1">
      <alignment horizontal="center" vertical="center" wrapText="1"/>
      <protection hidden="1"/>
    </xf>
    <xf numFmtId="0" fontId="20" fillId="8" borderId="39" xfId="0" applyFont="1" applyFill="1" applyBorder="1" applyAlignment="1" applyProtection="1">
      <alignment horizontal="center" vertical="center"/>
      <protection hidden="1"/>
    </xf>
    <xf numFmtId="0" fontId="13" fillId="8" borderId="35" xfId="0" applyFont="1" applyFill="1" applyBorder="1" applyAlignment="1" applyProtection="1">
      <alignment horizontal="center" vertical="center" wrapText="1"/>
      <protection hidden="1"/>
    </xf>
    <xf numFmtId="0" fontId="13" fillId="8" borderId="43" xfId="0" applyFont="1" applyFill="1" applyBorder="1" applyAlignment="1" applyProtection="1">
      <alignment horizontal="center" vertical="center" wrapText="1"/>
      <protection hidden="1"/>
    </xf>
    <xf numFmtId="0" fontId="20" fillId="8" borderId="46" xfId="0" applyFont="1" applyFill="1" applyBorder="1" applyAlignment="1" applyProtection="1">
      <alignment horizontal="center" vertical="center"/>
      <protection hidden="1"/>
    </xf>
    <xf numFmtId="0" fontId="13" fillId="8" borderId="5" xfId="0" applyFont="1" applyFill="1" applyBorder="1" applyAlignment="1" applyProtection="1">
      <alignment horizontal="center" vertical="center" wrapText="1"/>
      <protection hidden="1"/>
    </xf>
    <xf numFmtId="0" fontId="13" fillId="8" borderId="50" xfId="0" applyFont="1" applyFill="1" applyBorder="1" applyAlignment="1" applyProtection="1">
      <alignment horizontal="center" vertical="center" wrapText="1"/>
      <protection hidden="1"/>
    </xf>
    <xf numFmtId="1" fontId="20" fillId="8" borderId="46" xfId="0" applyNumberFormat="1" applyFont="1" applyFill="1" applyBorder="1" applyAlignment="1" applyProtection="1">
      <alignment horizontal="center" vertical="center"/>
      <protection hidden="1"/>
    </xf>
    <xf numFmtId="1" fontId="13" fillId="8" borderId="5" xfId="0" applyNumberFormat="1" applyFont="1" applyFill="1" applyBorder="1" applyAlignment="1" applyProtection="1">
      <alignment horizontal="center" vertical="center" wrapText="1"/>
      <protection hidden="1"/>
    </xf>
    <xf numFmtId="1" fontId="13" fillId="8" borderId="50" xfId="0" applyNumberFormat="1" applyFont="1" applyFill="1" applyBorder="1" applyAlignment="1" applyProtection="1">
      <alignment horizontal="center" vertical="center" wrapText="1"/>
      <protection hidden="1"/>
    </xf>
    <xf numFmtId="166" fontId="20" fillId="8" borderId="46" xfId="0" applyNumberFormat="1" applyFont="1" applyFill="1" applyBorder="1" applyAlignment="1" applyProtection="1">
      <alignment horizontal="center" vertical="center" wrapText="1"/>
      <protection hidden="1"/>
    </xf>
    <xf numFmtId="166" fontId="13" fillId="8" borderId="5" xfId="0" applyNumberFormat="1" applyFont="1" applyFill="1" applyBorder="1" applyAlignment="1" applyProtection="1">
      <alignment horizontal="center" vertical="center" wrapText="1"/>
      <protection hidden="1"/>
    </xf>
    <xf numFmtId="166" fontId="13" fillId="8" borderId="50" xfId="0" applyNumberFormat="1" applyFont="1" applyFill="1" applyBorder="1" applyAlignment="1" applyProtection="1">
      <alignment horizontal="center" vertical="center" wrapText="1"/>
      <protection hidden="1"/>
    </xf>
    <xf numFmtId="0" fontId="45" fillId="7" borderId="0" xfId="0" applyFont="1" applyFill="1" applyAlignment="1" applyProtection="1">
      <alignment horizontal="left" vertical="top" wrapText="1"/>
      <protection hidden="1"/>
    </xf>
    <xf numFmtId="0" fontId="31" fillId="17" borderId="25" xfId="0" applyFont="1" applyFill="1" applyBorder="1" applyAlignment="1" applyProtection="1">
      <alignment horizontal="center" vertical="center"/>
      <protection hidden="1"/>
    </xf>
    <xf numFmtId="0" fontId="31" fillId="17" borderId="26" xfId="0" applyFont="1" applyFill="1" applyBorder="1" applyAlignment="1" applyProtection="1">
      <alignment horizontal="center" vertical="center"/>
      <protection hidden="1"/>
    </xf>
    <xf numFmtId="0" fontId="31" fillId="17" borderId="27" xfId="0" applyFont="1" applyFill="1" applyBorder="1" applyAlignment="1" applyProtection="1">
      <alignment horizontal="center" vertical="center"/>
      <protection hidden="1"/>
    </xf>
  </cellXfs>
  <cellStyles count="8">
    <cellStyle name="Calculation" xfId="5" builtinId="22"/>
    <cellStyle name="Currency" xfId="7" builtinId="4"/>
    <cellStyle name="Currency 2" xfId="4" xr:uid="{4460ED58-A4B7-4744-864E-86E2F8C61221}"/>
    <cellStyle name="Currency 3" xfId="3" xr:uid="{77B7F5FA-DF7C-4487-BAE4-F76287D6B74E}"/>
    <cellStyle name="Normal" xfId="0" builtinId="0"/>
    <cellStyle name="Normal 2" xfId="6" xr:uid="{755D4242-89EE-4AFB-AE9E-8248205BDDD3}"/>
    <cellStyle name="Normal 3" xfId="2" xr:uid="{217E3D2D-BE21-4FBA-8B53-96259A6C9110}"/>
    <cellStyle name="Percent" xfId="1" builtinId="5"/>
  </cellStyles>
  <dxfs count="161">
    <dxf>
      <numFmt numFmtId="0" formatCode="General"/>
      <border diagonalUp="0" diagonalDown="0">
        <left style="thin">
          <color indexed="64"/>
        </left>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font>
        <color auto="1"/>
      </font>
      <fill>
        <patternFill patternType="solid">
          <fgColor theme="4" tint="0.79998168889431442"/>
          <bgColor theme="4" tint="0.79998168889431442"/>
        </patternFill>
      </fill>
      <alignment horizontal="left" vertical="bottom" textRotation="0" wrapText="0" indent="0" justifyLastLine="0" shrinkToFit="0" readingOrder="0"/>
      <border diagonalUp="0" diagonalDown="0">
        <left/>
        <right/>
        <top style="thin">
          <color theme="1"/>
        </top>
        <bottom/>
        <vertical/>
        <horizontal/>
      </border>
    </dxf>
    <dxf>
      <border outline="0">
        <top style="thin">
          <color indexed="64"/>
        </top>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0"/>
        <name val="Calibri"/>
        <family val="2"/>
        <scheme val="none"/>
      </font>
      <fill>
        <patternFill patternType="solid">
          <fgColor indexed="64"/>
          <bgColor theme="2" tint="-0.749992370372631"/>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ptos Narrow"/>
        <family val="2"/>
        <scheme val="minor"/>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Aptos Narrow"/>
        <family val="2"/>
        <scheme val="minor"/>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none"/>
      </font>
      <numFmt numFmtId="14" formatCode="0.0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169" formatCode="_-[$$-409]* #,##0.00_ ;_-[$$-409]* \-#,##0.00\ ;_-[$$-409]* &quot;-&quot;??_ ;_-@_ "/>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169" formatCode="_-[$$-409]* #,##0.00_ ;_-[$$-409]* \-#,##0.00\ ;_-[$$-409]* &quot;-&quot;??_ ;_-@_ "/>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2" formatCode="0.00"/>
      <alignment horizontal="center" vertical="bottom" textRotation="0" wrapText="0"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2" formatCode="0.00"/>
      <alignment horizontal="center" vertical="bottom" textRotation="0" wrapText="0"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2" formatCode="0.0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169" formatCode="_-[$$-409]* #,##0.00_ ;_-[$$-409]* \-#,##0.00\ ;_-[$$-409]* &quot;-&quot;??_ ;_-@_ "/>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ptos Narrow"/>
        <family val="2"/>
        <scheme val="minor"/>
      </font>
      <numFmt numFmtId="169" formatCode="_-[$$-409]* #,##0.00_ ;_-[$$-409]* \-#,##0.00\ ;_-[$$-409]* &quot;-&quot;??_ ;_-@_ "/>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ptos Narrow"/>
        <family val="2"/>
        <scheme val="minor"/>
      </font>
      <numFmt numFmtId="169" formatCode="_-[$$-409]* #,##0.00_ ;_-[$$-409]* \-#,##0.00\ ;_-[$$-409]* &quot;-&quot;??_ ;_-@_ "/>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169" formatCode="_-[$$-409]* #,##0.00_ ;_-[$$-409]* \-#,##0.00\ ;_-[$$-409]* &quot;-&quot;??_ ;_-@_ "/>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ptos Narrow"/>
        <family val="2"/>
        <scheme val="minor"/>
      </font>
      <numFmt numFmtId="169" formatCode="_-[$$-409]* #,##0.00_ ;_-[$$-409]* \-#,##0.00\ ;_-[$$-409]* &quot;-&quot;??_ ;_-@_ "/>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ptos Narrow"/>
        <family val="2"/>
        <scheme val="minor"/>
      </font>
      <numFmt numFmtId="169" formatCode="_-[$$-409]* #,##0.00_ ;_-[$$-409]* \-#,##0.00\ ;_-[$$-409]* &quot;-&quot;??_ ;_-@_ "/>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ptos Narrow"/>
        <family val="2"/>
        <scheme val="minor"/>
      </font>
      <numFmt numFmtId="169" formatCode="_-[$$-409]* #,##0.00_ ;_-[$$-409]* \-#,##0.00\ ;_-[$$-409]* &quot;-&quot;??_ ;_-@_ "/>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ptos Narrow"/>
        <family val="2"/>
        <scheme val="minor"/>
      </font>
      <numFmt numFmtId="169" formatCode="_-[$$-409]* #,##0.00_ ;_-[$$-409]* \-#,##0.00\ ;_-[$$-409]* &quot;-&quot;??_ ;_-@_ "/>
      <border diagonalUp="0" diagonalDown="0" outline="0">
        <left/>
        <right/>
        <top style="thin">
          <color theme="4" tint="0.39997558519241921"/>
        </top>
        <bottom style="thin">
          <color theme="4" tint="0.39997558519241921"/>
        </bottom>
      </border>
    </dxf>
    <dxf>
      <font>
        <color rgb="FF000000"/>
      </font>
      <numFmt numFmtId="169" formatCode="_-[$$-409]* #,##0.00_ ;_-[$$-409]* \-#,##0.00\ ;_-[$$-409]* &quot;-&quot;??_ ;_-@_ "/>
    </dxf>
    <dxf>
      <font>
        <b val="0"/>
        <i val="0"/>
        <strike val="0"/>
        <condense val="0"/>
        <extend val="0"/>
        <outline val="0"/>
        <shadow val="0"/>
        <u val="none"/>
        <vertAlign val="baseline"/>
        <sz val="11"/>
        <color rgb="FF0B2340"/>
        <name val="Calibri"/>
        <family val="2"/>
        <scheme val="none"/>
      </font>
      <numFmt numFmtId="169" formatCode="_-[$$-409]* #,##0.00_ ;_-[$$-409]* \-#,##0.00\ ;_-[$$-409]* &quot;-&quot;??_ ;_-@_ "/>
      <fill>
        <patternFill patternType="solid">
          <fgColor rgb="FF000000"/>
          <bgColor rgb="FFFFFF99"/>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ptos Narrow"/>
        <family val="2"/>
        <scheme val="minor"/>
      </font>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Aptos Narrow"/>
        <family val="2"/>
        <scheme val="minor"/>
      </font>
      <alignment horizontal="left" vertical="bottom"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none"/>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none"/>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none"/>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none"/>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none"/>
      </font>
      <border diagonalUp="0" diagonalDown="0">
        <left/>
        <right/>
        <top style="thin">
          <color theme="4" tint="0.39997558519241921"/>
        </top>
        <bottom style="thin">
          <color theme="4" tint="0.39997558519241921"/>
        </bottom>
        <vertical/>
        <horizontal/>
      </border>
    </dxf>
    <dxf>
      <border outline="0">
        <left style="thin">
          <color theme="4" tint="0.39997558519241921"/>
        </left>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scheme val="none"/>
      </font>
      <numFmt numFmtId="0" formatCode="General"/>
      <fill>
        <patternFill patternType="solid">
          <fgColor theme="4"/>
          <bgColor theme="4"/>
        </patternFill>
      </fill>
      <alignment horizontal="general" vertical="bottom" textRotation="0" wrapText="0"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34998626667073579"/>
      </font>
    </dxf>
    <dxf>
      <font>
        <color theme="0" tint="-0.34998626667073579"/>
      </font>
    </dxf>
    <dxf>
      <font>
        <u val="none"/>
        <color theme="0" tint="-0.34998626667073579"/>
      </font>
    </dxf>
    <dxf>
      <fill>
        <patternFill>
          <bgColor rgb="FFFFC7CE"/>
        </patternFill>
      </fill>
    </dxf>
    <dxf>
      <font>
        <color theme="0" tint="-0.14996795556505021"/>
      </font>
      <fill>
        <patternFill>
          <bgColor theme="0" tint="-0.14996795556505021"/>
        </patternFill>
      </fill>
    </dxf>
    <dxf>
      <fill>
        <patternFill>
          <bgColor theme="9" tint="0.79998168889431442"/>
        </patternFill>
      </fill>
    </dxf>
    <dxf>
      <font>
        <color theme="0" tint="-0.499984740745262"/>
      </font>
    </dxf>
    <dxf>
      <font>
        <color theme="0"/>
      </font>
    </dxf>
    <dxf>
      <font>
        <b/>
        <i val="0"/>
      </font>
      <fill>
        <patternFill>
          <bgColor rgb="FFFF5050"/>
        </patternFill>
      </fill>
    </dxf>
    <dxf>
      <font>
        <color theme="1" tint="0.24994659260841701"/>
      </font>
      <fill>
        <patternFill>
          <bgColor theme="1" tint="0.24994659260841701"/>
        </patternFill>
      </fill>
    </dxf>
    <dxf>
      <font>
        <b/>
        <i/>
        <color theme="1"/>
      </font>
      <fill>
        <patternFill>
          <bgColor rgb="FFFF9B9B"/>
        </patternFill>
      </fill>
    </dxf>
    <dxf>
      <font>
        <color theme="1" tint="0.24994659260841701"/>
      </font>
      <fill>
        <patternFill>
          <bgColor theme="1" tint="0.24994659260841701"/>
        </patternFill>
      </fill>
    </dxf>
    <dxf>
      <fill>
        <patternFill>
          <bgColor rgb="FFFFABAB"/>
        </patternFill>
      </fill>
    </dxf>
    <dxf>
      <font>
        <color theme="0" tint="-0.499984740745262"/>
      </font>
    </dxf>
    <dxf>
      <font>
        <color theme="0" tint="-0.34998626667073579"/>
      </font>
    </dxf>
    <dxf>
      <fill>
        <patternFill>
          <bgColor theme="9" tint="0.79998168889431442"/>
        </patternFill>
      </fill>
    </dxf>
    <dxf>
      <font>
        <color theme="0" tint="-0.499984740745262"/>
      </font>
    </dxf>
    <dxf>
      <font>
        <color theme="0" tint="-0.34998626667073579"/>
      </font>
    </dxf>
    <dxf>
      <font>
        <color theme="0" tint="-0.34998626667073579"/>
      </font>
    </dxf>
    <dxf>
      <font>
        <u val="none"/>
        <color theme="0" tint="-0.34998626667073579"/>
      </font>
    </dxf>
    <dxf>
      <fill>
        <patternFill>
          <bgColor theme="9" tint="0.79998168889431442"/>
        </patternFill>
      </fill>
    </dxf>
    <dxf>
      <font>
        <color theme="0"/>
      </font>
    </dxf>
    <dxf>
      <font>
        <color theme="0"/>
      </font>
    </dxf>
  </dxfs>
  <tableStyles count="0" defaultTableStyle="TableStyleMedium2" defaultPivotStyle="PivotStyleLight16"/>
  <colors>
    <mruColors>
      <color rgb="FF774EA4"/>
      <color rgb="FFFF5050"/>
      <color rgb="FFF5EBFF"/>
      <color rgb="FFFFF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1.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ocumenttasks/documenttask1.xml><?xml version="1.0" encoding="utf-8"?>
<Tasks xmlns="http://schemas.microsoft.com/office/tasks/2019/documenttasks">
  <Task id="{32D0507B-68EF-4B5E-960C-537ED942929E}">
    <Anchor>
      <Comment id="{D0E5769E-9365-4F62-8D08-2EDB0083B3B4}"/>
    </Anchor>
    <History>
      <Event time="2026-06-22T20:05:47.95" id="{71C0AC8B-4F46-44BF-8602-700F23401774}">
        <Attribution userId="S::jessica.rasmussen@envu.com::11e6e20f-6954-4c8d-9ce6-ad665bb33b8e" userName="Jessica Rasmussen" userProvider="AD"/>
        <Anchor>
          <Comment id="{85E07183-7EF6-487B-87E2-E91B6CF40120}"/>
        </Anchor>
        <Create/>
      </Event>
      <Event time="2026-06-22T20:05:47.95" id="{48C19942-0B4F-45DD-ADCC-902A37BFC26F}">
        <Attribution userId="S::jessica.rasmussen@envu.com::11e6e20f-6954-4c8d-9ce6-ad665bb33b8e" userName="Jessica Rasmussen" userProvider="AD"/>
        <Anchor>
          <Comment id="{85E07183-7EF6-487B-87E2-E91B6CF40120}"/>
        </Anchor>
        <Assign userId="S::james.nolfo@envu.com::15e5d793-96aa-48cd-9dc9-fa015080dff0" userName="J. Nolfo" userProvider="AD"/>
      </Event>
      <Event time="2026-06-22T20:05:47.95" id="{FEE9B56D-F0B7-4E79-9514-21F45A484171}">
        <Attribution userId="S::jessica.rasmussen@envu.com::11e6e20f-6954-4c8d-9ce6-ad665bb33b8e" userName="Jessica Rasmussen" userProvider="AD"/>
        <Anchor>
          <Comment id="{85E07183-7EF6-487B-87E2-E91B6CF40120}"/>
        </Anchor>
        <SetTitle title="@J. Nolfo should this be removed from the Golf Fall Solutions Flyer"/>
      </Event>
      <Event time="2026-06-23T00:44:41.12" id="{79BA3484-3C64-455F-BF5C-73B2C6887A59}">
        <Attribution userId="S::james.nolfo@envu.com::15e5d793-96aa-48cd-9dc9-fa015080dff0" userName="J. Nolfo" userProvider="AD"/>
        <Progress percentComplete="100"/>
      </Event>
    </History>
  </Task>
  <Task id="{88CCD8A4-2870-4249-B38C-8016246D7F31}">
    <Anchor>
      <Comment id="{410AC98B-6525-463E-8BD8-6A0803BD99EA}"/>
    </Anchor>
    <History>
      <Event time="2026-06-22T19:25:55.64" id="{039232CD-EC0E-43E6-8E0E-39B62531061D}">
        <Attribution userId="S::jessica.rasmussen@envu.com::11e6e20f-6954-4c8d-9ce6-ad665bb33b8e" userName="Jessica Rasmussen" userProvider="AD"/>
        <Anchor>
          <Comment id="{410AC98B-6525-463E-8BD8-6A0803BD99EA}"/>
        </Anchor>
        <Create/>
      </Event>
      <Event time="2026-06-22T19:25:55.64" id="{A62E33E6-D9B2-4D76-BAAF-7E1923B47323}">
        <Attribution userId="S::jessica.rasmussen@envu.com::11e6e20f-6954-4c8d-9ce6-ad665bb33b8e" userName="Jessica Rasmussen" userProvider="AD"/>
        <Anchor>
          <Comment id="{410AC98B-6525-463E-8BD8-6A0803BD99EA}"/>
        </Anchor>
        <Assign userId="S::james.nolfo@envu.com::15e5d793-96aa-48cd-9dc9-fa015080dff0" userName="J. Nolfo" userProvider="AD"/>
      </Event>
      <Event time="2026-06-22T19:25:55.64" id="{FFB83629-F5D1-4F92-93A2-B19B51F5F3FF}">
        <Attribution userId="S::jessica.rasmussen@envu.com::11e6e20f-6954-4c8d-9ce6-ad665bb33b8e" userName="Jessica Rasmussen" userProvider="AD"/>
        <Anchor>
          <Comment id="{410AC98B-6525-463E-8BD8-6A0803BD99EA}"/>
        </Anchor>
        <SetTitle title="@J. Nolfo are these prices flip flopped?"/>
      </Event>
      <Event time="2026-06-23T00:40:40.83" id="{3EA9BB9E-600B-4CF6-A048-627E3A09A709}">
        <Attribution userId="S::james.nolfo@envu.com::15e5d793-96aa-48cd-9dc9-fa015080dff0" userName="J. Nolfo" userProvider="AD"/>
        <Progress percentComplete="100"/>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1628775</xdr:colOff>
      <xdr:row>0</xdr:row>
      <xdr:rowOff>0</xdr:rowOff>
    </xdr:from>
    <xdr:to>
      <xdr:col>4</xdr:col>
      <xdr:colOff>19050</xdr:colOff>
      <xdr:row>0</xdr:row>
      <xdr:rowOff>619125</xdr:rowOff>
    </xdr:to>
    <xdr:pic>
      <xdr:nvPicPr>
        <xdr:cNvPr id="3" name="Picture 2">
          <a:extLst>
            <a:ext uri="{FF2B5EF4-FFF2-40B4-BE49-F238E27FC236}">
              <a16:creationId xmlns:a16="http://schemas.microsoft.com/office/drawing/2014/main" id="{67F326C2-FEB6-A44C-2E1F-CB55F449483E}"/>
            </a:ext>
          </a:extLst>
        </xdr:cNvPr>
        <xdr:cNvPicPr>
          <a:picLocks noChangeAspect="1"/>
        </xdr:cNvPicPr>
      </xdr:nvPicPr>
      <xdr:blipFill>
        <a:blip xmlns:r="http://schemas.openxmlformats.org/officeDocument/2006/relationships" r:embed="rId1"/>
        <a:stretch>
          <a:fillRect/>
        </a:stretch>
      </xdr:blipFill>
      <xdr:spPr>
        <a:xfrm>
          <a:off x="2371725" y="0"/>
          <a:ext cx="1228725" cy="619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265460</xdr:colOff>
      <xdr:row>1</xdr:row>
      <xdr:rowOff>105781</xdr:rowOff>
    </xdr:from>
    <xdr:to>
      <xdr:col>16</xdr:col>
      <xdr:colOff>69463</xdr:colOff>
      <xdr:row>3</xdr:row>
      <xdr:rowOff>115306</xdr:rowOff>
    </xdr:to>
    <xdr:sp macro="[0]!Sheet2.ExportPDFButton" textlink="">
      <xdr:nvSpPr>
        <xdr:cNvPr id="3" name="Rectangle: Rounded Corners 2">
          <a:extLst>
            <a:ext uri="{FF2B5EF4-FFF2-40B4-BE49-F238E27FC236}">
              <a16:creationId xmlns:a16="http://schemas.microsoft.com/office/drawing/2014/main" id="{A729365C-3A54-4ECF-8CB3-DD0EC49BF518}"/>
            </a:ext>
          </a:extLst>
        </xdr:cNvPr>
        <xdr:cNvSpPr/>
      </xdr:nvSpPr>
      <xdr:spPr>
        <a:xfrm>
          <a:off x="13538509" y="291635"/>
          <a:ext cx="1732234" cy="45867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t>EXPORT</a:t>
          </a:r>
          <a:r>
            <a:rPr lang="en-US" sz="1200" b="1" baseline="0"/>
            <a:t> PDF</a:t>
          </a:r>
          <a:endParaRPr lang="en-US" sz="1200" b="1"/>
        </a:p>
      </xdr:txBody>
    </xdr:sp>
    <xdr:clientData/>
  </xdr:twoCellAnchor>
  <xdr:twoCellAnchor editAs="oneCell">
    <xdr:from>
      <xdr:col>9</xdr:col>
      <xdr:colOff>900954</xdr:colOff>
      <xdr:row>3</xdr:row>
      <xdr:rowOff>62380</xdr:rowOff>
    </xdr:from>
    <xdr:to>
      <xdr:col>10</xdr:col>
      <xdr:colOff>617930</xdr:colOff>
      <xdr:row>4</xdr:row>
      <xdr:rowOff>126171</xdr:rowOff>
    </xdr:to>
    <xdr:pic>
      <xdr:nvPicPr>
        <xdr:cNvPr id="4" name="Picture 3">
          <a:extLst>
            <a:ext uri="{FF2B5EF4-FFF2-40B4-BE49-F238E27FC236}">
              <a16:creationId xmlns:a16="http://schemas.microsoft.com/office/drawing/2014/main" id="{4DD3ACDC-45D2-DA75-F29B-4D8E19B7EA59}"/>
            </a:ext>
          </a:extLst>
        </xdr:cNvPr>
        <xdr:cNvPicPr>
          <a:picLocks noChangeAspect="1"/>
        </xdr:cNvPicPr>
      </xdr:nvPicPr>
      <xdr:blipFill>
        <a:blip xmlns:r="http://schemas.openxmlformats.org/officeDocument/2006/relationships" r:embed="rId1"/>
        <a:stretch>
          <a:fillRect/>
        </a:stretch>
      </xdr:blipFill>
      <xdr:spPr>
        <a:xfrm>
          <a:off x="8823513" y="970056"/>
          <a:ext cx="1619175" cy="3600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 Nolfo" id="{E90F9EDE-E8FB-4352-AC6E-187FD0EC968D}" userId="J. Nolfo" providerId="None"/>
  <person displayName="J. Nolfo" id="{49DA99F0-6CCC-440F-828C-6027A2F5A029}" userId="james.nolfo@envu.com" providerId="PeoplePicker"/>
  <person displayName="Chad Noyes" id="{3462A588-089D-4705-8497-B3FDEBB64CB6}" userId="S::chad.noyes@envu.com::a5196a81-30e4-438b-b368-dffccbe8f8d7" providerId="AD"/>
  <person displayName="Jessica Rasmussen" id="{0B0C81E6-47E0-4026-A2C1-1C2A94AA327D}" userId="S::jessica.rasmussen@envu.com::11e6e20f-6954-4c8d-9ce6-ad665bb33b8e"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C98199B-9337-44B5-9BF2-46445AB8BD93}" name="PRICING" displayName="PRICING" ref="A1:AF115" totalsRowShown="0" headerRowDxfId="50" headerRowBorderDxfId="49" tableBorderDxfId="48" headerRowCellStyle="Normal 3">
  <autoFilter ref="A1:AF115" xr:uid="{EC98199B-9337-44B5-9BF2-46445AB8BD93}">
    <filterColumn colId="9">
      <filters>
        <filter val="Durentis® Insecticide"/>
        <filter val="Tarvecta™"/>
      </filters>
    </filterColumn>
    <filterColumn colId="10">
      <filters>
        <filter val="16 oz"/>
        <filter val="64 oz"/>
      </filters>
    </filterColumn>
  </autoFilter>
  <sortState xmlns:xlrd2="http://schemas.microsoft.com/office/spreadsheetml/2017/richdata2" ref="A2:AF114">
    <sortCondition ref="J1:J114"/>
  </sortState>
  <tableColumns count="32">
    <tableColumn id="1" xr3:uid="{E888E169-64C9-499F-9B95-C7DBCDC15101}" name="Manufacturer" dataDxfId="47"/>
    <tableColumn id="2" xr3:uid="{3AE1413B-FC9C-4569-A93D-1696E870ACD9}" name="Agency/TT" dataDxfId="46"/>
    <tableColumn id="3" xr3:uid="{BA669AA0-5E99-4659-B7A8-152E92304C25}" name="Segment" dataDxfId="45"/>
    <tableColumn id="4" xr3:uid="{954D877E-51CB-4525-B7F0-37A9634FB548}" name="Region" dataDxfId="44"/>
    <tableColumn id="5" xr3:uid="{DE373666-E95D-495E-A758-577AAC9EE70B}" name="Indication" dataDxfId="43"/>
    <tableColumn id="7" xr3:uid="{7D84110D-414C-4886-8237-F041345335BE}" name="Program"/>
    <tableColumn id="8" xr3:uid="{B63BDD5B-E575-41A7-88A3-1A3B842CBDA4}" name="Old Bayer SKU "/>
    <tableColumn id="9" xr3:uid="{F2241356-AE77-4D7E-A4C8-863918709A24}" name="Old Envu SKU"/>
    <tableColumn id="10" xr3:uid="{0B4237DC-D31A-4554-B604-ABDFA9EA2C67}" name="SKU" dataDxfId="42"/>
    <tableColumn id="11" xr3:uid="{C8F378E0-0A57-4A72-B15F-AEB5B63BCDD4}" name="Product" dataDxfId="41"/>
    <tableColumn id="12" xr3:uid="{42BE339B-343B-4C91-A8EB-8C1BBAC170F9}" name="Size" dataDxfId="40"/>
    <tableColumn id="13" xr3:uid="{96A261D7-7834-42FE-91CB-D5E8C477B324}" name="2026 In-Season Price" dataDxfId="39"/>
    <tableColumn id="14" xr3:uid="{1880B8F7-98C5-417B-B844-E5F0D5A5237D}" name="NOW Price" dataDxfId="38"/>
    <tableColumn id="15" xr3:uid="{C0C3D372-52B1-4F5E-B92A-93889C9C2C83}" name="In SZN-NOW delta" dataDxfId="37">
      <calculatedColumnFormula>L2-M2</calculatedColumnFormula>
    </tableColumn>
    <tableColumn id="16" xr3:uid="{3D16BF20-27B5-4D6C-9D13-1EF46C076B75}" name="Min Qty" dataDxfId="36"/>
    <tableColumn id="17" xr3:uid="{E36061CB-E90E-4442-A63E-E786D09C9ADE}" name="Rebate $"/>
    <tableColumn id="18" xr3:uid="{EA876EE9-3559-4B4E-934B-EE9CEB85965F}" name="Final Price" dataDxfId="35">
      <calculatedColumnFormula>M2-P2</calculatedColumnFormula>
    </tableColumn>
    <tableColumn id="19" xr3:uid="{63CEBA03-F238-4786-9C21-E41CAFBBF7DE}" name="CA In-season Price" dataDxfId="34"/>
    <tableColumn id="20" xr3:uid="{5E00DD23-362B-489D-B509-44B7D2BCF6A4}" name="CA NOW Price" dataDxfId="33"/>
    <tableColumn id="21" xr3:uid="{4C52FC3D-7A30-4744-8DED-08273B7DACB4}" name="CA Final Price" dataDxfId="32" dataCellStyle="Currency 2"/>
    <tableColumn id="22" xr3:uid="{F174D4F0-32DC-4F0A-AEC1-B9E0A69145B2}" name="WA In-season Price" dataDxfId="31"/>
    <tableColumn id="23" xr3:uid="{31455E9C-1D59-47D2-A8C3-F779C26287C6}" name="WA NOW Price" dataDxfId="30"/>
    <tableColumn id="24" xr3:uid="{6E17ACC9-B537-4681-9174-4AFEFF92BF64}" name="WA Final Price" dataDxfId="29" dataCellStyle="Currency 2"/>
    <tableColumn id="25" xr3:uid="{2AB5954D-1893-42E3-B9D6-C49E3CC865D7}" name="Package Ounces" dataDxfId="28"/>
    <tableColumn id="26" xr3:uid="{DF63D30E-FB15-43B4-8C25-CC796AD8A1FB}" name="Standard Use Rate (oz/M)" dataDxfId="27"/>
    <tableColumn id="27" xr3:uid="{470D1A9D-89F2-4981-8DBC-4A6189C31205}" name="Standard Use Rate (oz/Acre)" dataDxfId="26"/>
    <tableColumn id="28" xr3:uid="{B8704687-472C-45AE-A88F-377E2F48CCCF}" name="Price/1000 sq ft" dataDxfId="25" dataCellStyle="Currency 2"/>
    <tableColumn id="29" xr3:uid="{C4A669B5-C709-4665-9027-7E479148B9A1}" name="Price/Acre" dataDxfId="24" dataCellStyle="Currency 2"/>
    <tableColumn id="30" xr3:uid="{D970DA03-5C34-444B-A259-7D2DFA2EBDF1}" name="Total %" dataDxfId="23"/>
    <tableColumn id="31" xr3:uid="{5228F452-C166-4413-BC25-6A0017726E26}" name="*cumlative" dataDxfId="22"/>
    <tableColumn id="32" xr3:uid="{F7FAB156-7838-45DF-B6CD-1198D84F854D}" name="Set" dataDxfId="21"/>
    <tableColumn id="35" xr3:uid="{FF10DA56-3479-4CEC-B9B8-193DB022B7B9}" name="October Bonus"/>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DD0BA40-C003-4C51-B371-32E5A8135271}" name="Rebate_Lookup" displayName="Rebate_Lookup" ref="A1:Q79" totalsRowShown="0" headerRowDxfId="20" headerRowBorderDxfId="19" tableBorderDxfId="18" totalsRowBorderDxfId="17">
  <autoFilter ref="A1:Q79" xr:uid="{8DD0BA40-C003-4C51-B371-32E5A8135271}">
    <filterColumn colId="1">
      <filters>
        <filter val="A"/>
      </filters>
    </filterColumn>
  </autoFilter>
  <sortState xmlns:xlrd2="http://schemas.microsoft.com/office/spreadsheetml/2017/richdata2" ref="A5:Q78">
    <sortCondition ref="C1:C78"/>
  </sortState>
  <tableColumns count="17">
    <tableColumn id="1" xr3:uid="{D398673B-0662-44F8-8D78-99328DB3B95F}" name="SKU CODE" dataDxfId="16"/>
    <tableColumn id="2" xr3:uid="{8D4D0BBC-7197-44B6-B0A9-0ADA47BA0712}" name="Agency/TT" dataDxfId="15">
      <calculatedColumnFormula>INDEX(PRICING[Agency/TT],MATCH(Rebate_Lookup[[#This Row],[SKU CODE]],PRICING[SKU],0))</calculatedColumnFormula>
    </tableColumn>
    <tableColumn id="3" xr3:uid="{3AFF1E7F-7477-4AAB-B97F-1128804B6371}" name="Description" dataDxfId="14">
      <calculatedColumnFormula>INDEX(PRICING[Product],MATCH(Rebate_Lookup[[#This Row],[SKU CODE]],PRICING[SKU],0))</calculatedColumnFormula>
    </tableColumn>
    <tableColumn id="4" xr3:uid="{99B44781-FB82-4C8A-8F90-C186FD374A87}" name="Size" dataDxfId="13">
      <calculatedColumnFormula>INDEX(PRICING[Size],MATCH(Rebate_Lookup[[#This Row],[SKU CODE]],PRICING[SKU],0))</calculatedColumnFormula>
    </tableColumn>
    <tableColumn id="5" xr3:uid="{860537EA-E375-4424-B8EA-D22E6322FC21}" name="Instances" dataDxfId="12">
      <calculatedColumnFormula array="1">SUM(COUNTIFS(
    PRICING[Program],{"EOP/ORN","ORN","EOP","NOW","LL/NOW","LL/SLP/NOW","LL/SLP/EOP"},
    PRICING[SKU],A2
))</calculatedColumnFormula>
    </tableColumn>
    <tableColumn id="6" xr3:uid="{710FA39C-82B2-4C12-AB4A-D50437303F94}" name="MOQ_1" dataDxfId="11">
      <calculatedColumnFormula array="1">IFERROR(
MIN(
_xlfn._xlws.FILTER(
--_xlfn.TEXTBEFORE(
SUBSTITUTE(
SUBSTITUTE(PRICING[Min Qty],"+"," "),
"-"," "
),
" "
),
(PRICING[SKU]=$A2)*
(PRICING[Set]=1)*
(PRICING[Rebate $]&lt;&gt;0)*
(PRICING[Rebate $]&lt;&gt;"")
)
),
0
)</calculatedColumnFormula>
    </tableColumn>
    <tableColumn id="7" xr3:uid="{A1073A25-A7DA-43E5-9A00-A7C4CEF15B9A}" name="MOQ_2" dataDxfId="10">
      <calculatedColumnFormula array="1">IFERROR(
MIN(
_xlfn._xlws.FILTER(
--_xlfn.TEXTBEFORE(
SUBSTITUTE(
SUBSTITUTE(PRICING[Min Qty],"+"," "),
"-"," "
),
" "
),
(PRICING[SKU]=$A2)*
(PRICING[Set]=2)*
(PRICING[Rebate $]&lt;&gt;0)*
(PRICING[Rebate $]&lt;&gt;"")
)
),
0
)</calculatedColumnFormula>
    </tableColumn>
    <tableColumn id="8" xr3:uid="{91432DF9-A055-476D-A2FB-DBEC84A77BCE}" name="MOQ_3" dataDxfId="9">
      <calculatedColumnFormula array="1">IFERROR(
MIN(
_xlfn._xlws.FILTER(
--_xlfn.TEXTBEFORE(
SUBSTITUTE(
SUBSTITUTE(PRICING[Min Qty],"+"," "),
"-"," "
),
" "
),
(PRICING[SKU]=$A2)*
(PRICING[Set]=3)*
(PRICING[Rebate $]&lt;&gt;0)*
(PRICING[Rebate $]&lt;&gt;"")
)
),
0
)</calculatedColumnFormula>
    </tableColumn>
    <tableColumn id="16" xr3:uid="{BD930D3E-F4E6-43DA-8EDB-AB8851417B76}" name="MOQ_4" dataDxfId="8">
      <calculatedColumnFormula array="1">IFERROR(
MIN(
_xlfn._xlws.FILTER(
--_xlfn.TEXTBEFORE(
SUBSTITUTE(
SUBSTITUTE(PRICING[Min Qty],"+"," "),
"-"," "
),
" "
),
(PRICING[SKU]=$A2)*
(PRICING[Set]=4)*
(PRICING[Rebate $]&lt;&gt;0)*
(PRICING[Rebate $]&lt;&gt;"")
)
),
0
)</calculatedColumnFormula>
    </tableColumn>
    <tableColumn id="9" xr3:uid="{DDBB5C97-01AA-4400-96C4-971E645F0CD9}" name="REB_MOQ_1" dataDxfId="7">
      <calculatedColumnFormula array="1">SUM(
    SUMIFS(
        PRICING[Rebate $],
        PRICING[Program],
        {"EOP/ORN","ORN","EOP","NOW","LL/NOW","LL/SLP/NOW","LL/SLP/EOP"},
        PRICING[SKU],
        Rebate_Lookup[[#This Row],[SKU CODE]],
        PRICING[Set],
        1
    )
)</calculatedColumnFormula>
    </tableColumn>
    <tableColumn id="10" xr3:uid="{8BC226D3-0A47-471A-AC12-E53BEDB11F49}" name="REB_MOQ_2" dataDxfId="6">
      <calculatedColumnFormula array="1">SUM(
    SUMIFS(
        PRICING[Rebate $],
        PRICING[Program],
        {"EOP/ORN","ORN","EOP","NOW","LL/NOW","LL/SLP/NOW","LL/SLP/EOP"},
        PRICING[SKU],
        Rebate_Lookup[[#This Row],[SKU CODE]],
        PRICING[Set],
        2
    )
)</calculatedColumnFormula>
    </tableColumn>
    <tableColumn id="11" xr3:uid="{17B14B9A-5C4F-48A7-A3A1-07401CAC9D7A}" name="REB_MOQ_3" dataDxfId="5">
      <calculatedColumnFormula array="1">SUM(
    SUMIFS(
        PRICING[Rebate $],
        PRICING[Program],
        {"EOP/ORN","ORN","EOP","NOW","LL/NOW","LL/SLP/NOW","LL/SLP/EOP"},
        PRICING[SKU],
        Rebate_Lookup[[#This Row],[SKU CODE]],
        PRICING[Set],
        3
    )
)</calculatedColumnFormula>
    </tableColumn>
    <tableColumn id="17" xr3:uid="{710847E3-6EC6-43DC-98D0-474D0636866B}" name="REB_MOQ_4" dataDxfId="4">
      <calculatedColumnFormula array="1">SUM(
    SUMIFS(
        PRICING[Rebate $],
        PRICING[Program],
        {"EOP/ORN","ORN","EOP","NOW","LL/NOW","LL/SLP/NOW","LL/SLP/EOP"},
        PRICING[SKU],
        Rebate_Lookup[[#This Row],[SKU CODE]],
        PRICING[Set],
        4
    )
)</calculatedColumnFormula>
    </tableColumn>
    <tableColumn id="12" xr3:uid="{B7772016-8192-4A8E-9478-9EDF4602EE52}" name="Order Form Quantity" dataDxfId="3">
      <calculatedColumnFormula>INDEX(Estimates!H:H,MATCH(Rebate_Lookup[[#This Row],[SKU CODE]],Estimates!A:A,0))</calculatedColumnFormula>
    </tableColumn>
    <tableColumn id="13" xr3:uid="{84939568-F3D0-4F2D-85F0-B480B22660D2}" name="Qualified Rebate Tier" dataDxfId="2">
      <calculatedColumnFormula>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calculatedColumnFormula>
    </tableColumn>
    <tableColumn id="14" xr3:uid="{2616D50E-B710-44A2-966D-F2769011555F}" name="Column1" dataDxfId="1">
      <calculatedColumnFormula>COUNTIF(Estimates!A:A,Rebate_Lookup[[#This Row],[SKU CODE]])</calculatedColumnFormula>
    </tableColumn>
    <tableColumn id="15" xr3:uid="{47A19105-FA18-4B1B-A7FA-1EA8531AA122}" name="Volume Buy Counter" dataDxfId="0">
      <calculatedColumnFormula>IFERROR(Rebate_Lookup[[#This Row],[Order Form Quantity]]&gt;=Rebate_Lookup[[#This Row],[MOQ_2]],0)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J23" dT="2025-06-27T22:10:39.98" personId="{3462A588-089D-4705-8497-B3FDEBB64CB6}" id="{D0E5769E-9365-4F62-8D08-2EDB0083B3B4}" done="1">
    <text>Labeled in AZ/CA only</text>
  </threadedComment>
  <threadedComment ref="J23" dT="2026-06-22T20:05:47.95" personId="{0B0C81E6-47E0-4026-A2C1-1C2A94AA327D}" id="{85E07183-7EF6-487B-87E2-E91B6CF40120}" parentId="{D0E5769E-9365-4F62-8D08-2EDB0083B3B4}">
    <text>@J. Nolfo  should this be removed from the Golf Fall Solutions Flyer</text>
    <mentions>
      <mention mentionpersonId="{49DA99F0-6CCC-440F-828C-6027A2F5A029}" mentionId="{4AD132BE-1A78-4FC0-ABC4-CF8E94C33A72}" startIndex="0" length="9"/>
    </mentions>
  </threadedComment>
  <threadedComment ref="J23" dT="2026-06-23T00:44:38.59" personId="{E90F9EDE-E8FB-4352-AC6E-187FD0EC968D}" id="{8C64A906-A13C-45D9-AAF0-CFB8C8476E5A}" parentId="{D0E5769E-9365-4F62-8D08-2EDB0083B3B4}">
    <text>Include in Golf Fall.</text>
  </threadedComment>
  <threadedComment ref="J30" dT="2025-07-03T11:37:44.48" personId="{3462A588-089D-4705-8497-B3FDEBB64CB6}" id="{1E1AF77B-43C3-4DD0-A67B-6B76D23235AD}">
    <text>Sales count towards purchase tier, but will not be rebated</text>
  </threadedComment>
  <threadedComment ref="J31" dT="2025-07-03T11:37:30.04" personId="{3462A588-089D-4705-8497-B3FDEBB64CB6}" id="{E226F300-ACEC-406D-8AC8-C7347C073905}">
    <text>Sales count towards purchase tier, but not rebated</text>
  </threadedComment>
  <threadedComment ref="J104" dT="2026-06-22T19:25:55.65" personId="{0B0C81E6-47E0-4026-A2C1-1C2A94AA327D}" id="{410AC98B-6525-463E-8BD8-6A0803BD99EA}" done="1">
    <text>@J. Nolfo  are these prices flip flopped?</text>
    <mentions>
      <mention mentionpersonId="{49DA99F0-6CCC-440F-828C-6027A2F5A029}" mentionId="{EA0FE29C-CEDD-47AC-9D1E-96DD73DBDAAF}" startIndex="0" length="9"/>
    </mentions>
  </threadedComment>
  <threadedComment ref="J104" dT="2026-06-22T20:20:27.85" personId="{E90F9EDE-E8FB-4352-AC6E-187FD0EC968D}" id="{511F7736-F034-4DF7-89AE-53890C153FE3}" parentId="{410AC98B-6525-463E-8BD8-6A0803BD99EA}">
    <text>Fixed</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77A1F-22F4-4D71-AA77-B24CB86BBF85}">
  <sheetPr codeName="Sheet1"/>
  <dimension ref="A1:BG128"/>
  <sheetViews>
    <sheetView tabSelected="1" topLeftCell="C52" zoomScale="85" zoomScaleNormal="85" workbookViewId="0">
      <selection activeCell="H62" sqref="H62"/>
    </sheetView>
  </sheetViews>
  <sheetFormatPr baseColWidth="10" defaultColWidth="11.1640625" defaultRowHeight="14" x14ac:dyDescent="0.2"/>
  <cols>
    <col min="1" max="1" width="11.6640625" style="13" hidden="1" customWidth="1"/>
    <col min="2" max="2" width="9.5" style="13" hidden="1" customWidth="1"/>
    <col min="3" max="3" width="11.1640625" style="13"/>
    <col min="4" max="4" width="42.5" style="13" customWidth="1"/>
    <col min="5" max="5" width="31.83203125" style="13" bestFit="1" customWidth="1"/>
    <col min="6" max="6" width="10.1640625" style="13" bestFit="1" customWidth="1"/>
    <col min="7" max="7" width="11.6640625" style="13" bestFit="1" customWidth="1"/>
    <col min="8" max="8" width="20.5" style="60" customWidth="1"/>
    <col min="9" max="9" width="16.5" style="20" bestFit="1" customWidth="1"/>
    <col min="10" max="10" width="18.5" style="20" hidden="1" customWidth="1"/>
    <col min="11" max="11" width="11.33203125" style="20" customWidth="1"/>
    <col min="12" max="12" width="20" style="20" bestFit="1" customWidth="1"/>
    <col min="13" max="13" width="22.6640625" style="20" hidden="1" customWidth="1"/>
    <col min="14" max="15" width="25.1640625" style="20" hidden="1" customWidth="1"/>
    <col min="16" max="16" width="18.5" style="20" bestFit="1" customWidth="1"/>
    <col min="17" max="17" width="30.1640625" style="20" bestFit="1" customWidth="1"/>
    <col min="18" max="18" width="18.5" style="20" bestFit="1" customWidth="1"/>
    <col min="19" max="19" width="22.1640625" style="20" bestFit="1" customWidth="1"/>
    <col min="20" max="20" width="15.83203125" style="19" bestFit="1" customWidth="1"/>
    <col min="21" max="21" width="17.33203125" style="59" bestFit="1" customWidth="1"/>
    <col min="22" max="22" width="23.5" style="59" bestFit="1" customWidth="1"/>
    <col min="23" max="23" width="12.5" style="59" bestFit="1" customWidth="1"/>
    <col min="24" max="24" width="12" style="59" bestFit="1" customWidth="1"/>
    <col min="25" max="16384" width="11.1640625" style="13"/>
  </cols>
  <sheetData>
    <row r="1" spans="1:27" ht="50.25" customHeight="1" x14ac:dyDescent="0.2">
      <c r="E1" s="329" t="s">
        <v>0</v>
      </c>
      <c r="F1" s="329"/>
      <c r="G1" s="329"/>
      <c r="H1" s="329"/>
      <c r="I1" s="329"/>
      <c r="J1" s="329"/>
      <c r="K1" s="329"/>
      <c r="L1" s="329"/>
      <c r="M1" s="144"/>
      <c r="N1" s="144"/>
      <c r="O1" s="144"/>
      <c r="P1" s="333"/>
      <c r="Q1" s="333"/>
      <c r="R1" s="333"/>
      <c r="S1" s="333"/>
      <c r="T1" s="333"/>
      <c r="U1" s="333"/>
      <c r="V1" s="333"/>
      <c r="W1" s="333"/>
      <c r="X1" s="333"/>
    </row>
    <row r="2" spans="1:27" s="14" customFormat="1" ht="9.75" customHeight="1" x14ac:dyDescent="0.2">
      <c r="E2" s="15"/>
      <c r="F2" s="15"/>
      <c r="G2" s="15"/>
      <c r="H2" s="15"/>
      <c r="I2" s="15"/>
      <c r="J2" s="15"/>
      <c r="K2" s="15"/>
      <c r="L2" s="15"/>
      <c r="M2" s="15"/>
      <c r="N2" s="15"/>
      <c r="O2" s="15"/>
      <c r="P2" s="16"/>
      <c r="Q2" s="16"/>
      <c r="R2" s="16"/>
      <c r="S2" s="16"/>
      <c r="T2" s="17"/>
      <c r="U2" s="18"/>
      <c r="V2" s="18"/>
      <c r="W2" s="18"/>
      <c r="X2" s="18"/>
    </row>
    <row r="3" spans="1:27" ht="24" customHeight="1" x14ac:dyDescent="0.2">
      <c r="A3" s="19"/>
      <c r="B3" s="19"/>
      <c r="E3" s="19"/>
      <c r="H3" s="20"/>
      <c r="P3" s="21"/>
      <c r="Q3" s="21"/>
      <c r="R3" s="16"/>
      <c r="S3" s="22" t="s">
        <v>1</v>
      </c>
      <c r="T3" s="23"/>
      <c r="U3" s="23"/>
      <c r="V3" s="23"/>
      <c r="W3" s="23"/>
      <c r="X3" s="23"/>
      <c r="Y3" s="20"/>
    </row>
    <row r="4" spans="1:27" ht="21" customHeight="1" x14ac:dyDescent="0.2">
      <c r="A4" s="20"/>
      <c r="B4" s="20"/>
      <c r="D4" s="330" t="s">
        <v>2</v>
      </c>
      <c r="E4" s="331"/>
      <c r="F4" s="20"/>
      <c r="G4" s="20"/>
      <c r="H4" s="20"/>
      <c r="R4" s="24" t="s">
        <v>3</v>
      </c>
      <c r="S4" s="352" t="s">
        <v>4</v>
      </c>
      <c r="T4" s="353"/>
      <c r="U4" s="25" t="s">
        <v>5</v>
      </c>
      <c r="V4" s="25" t="s">
        <v>6</v>
      </c>
      <c r="W4" s="25" t="s">
        <v>7</v>
      </c>
      <c r="X4" s="25" t="s">
        <v>8</v>
      </c>
      <c r="Y4" s="20"/>
    </row>
    <row r="5" spans="1:27" ht="21" customHeight="1" x14ac:dyDescent="0.2">
      <c r="A5" s="20"/>
      <c r="B5" s="20"/>
      <c r="D5" s="26" t="s">
        <v>9</v>
      </c>
      <c r="E5" s="75"/>
      <c r="F5" s="20"/>
      <c r="G5" s="20"/>
      <c r="H5" s="20"/>
      <c r="R5" s="24" t="s">
        <v>10</v>
      </c>
      <c r="S5" s="354">
        <v>0.02</v>
      </c>
      <c r="T5" s="355"/>
      <c r="U5" s="27">
        <v>0.03</v>
      </c>
      <c r="V5" s="27">
        <v>0.04</v>
      </c>
      <c r="W5" s="27">
        <v>0.05</v>
      </c>
      <c r="X5" s="27">
        <v>0.06</v>
      </c>
      <c r="Y5" s="20"/>
    </row>
    <row r="6" spans="1:27" ht="21" customHeight="1" x14ac:dyDescent="0.2">
      <c r="A6" s="20"/>
      <c r="B6" s="20"/>
      <c r="D6" s="28" t="s">
        <v>11</v>
      </c>
      <c r="E6" s="76"/>
      <c r="F6" s="20"/>
      <c r="G6" s="20"/>
      <c r="H6" s="20"/>
      <c r="R6" s="16"/>
      <c r="S6" s="29" t="b">
        <f>AND($L$68+$M$98&gt;=5000,$L$68+$M$98&lt;22000)</f>
        <v>0</v>
      </c>
      <c r="T6" s="29"/>
      <c r="U6" s="29" t="b">
        <f>AND($L$68+$M$98&gt;=22000,$L$68+$M$98&lt;55000)</f>
        <v>0</v>
      </c>
      <c r="V6" s="29" t="b">
        <f>AND($L$68+$M$98&gt;=55000,$L$68+$M$98&lt;110000)</f>
        <v>0</v>
      </c>
      <c r="W6" s="29" t="b">
        <f>AND($L$68+$M$98&gt;=110000,$L$68+$M$98&lt;165000)</f>
        <v>0</v>
      </c>
      <c r="X6" s="30" t="b">
        <f>$L$68+$M$98&gt;=165000</f>
        <v>0</v>
      </c>
      <c r="Y6" s="20"/>
    </row>
    <row r="7" spans="1:27" ht="21" customHeight="1" x14ac:dyDescent="0.2">
      <c r="A7" s="20"/>
      <c r="B7" s="20"/>
      <c r="D7" s="161" t="s">
        <v>12</v>
      </c>
      <c r="E7" s="77"/>
      <c r="F7" s="20"/>
      <c r="G7" s="20"/>
      <c r="H7" s="20"/>
      <c r="P7" s="310" t="s">
        <v>13</v>
      </c>
      <c r="Q7" s="310"/>
      <c r="R7" s="332" t="s">
        <v>14</v>
      </c>
      <c r="S7" s="310" t="s">
        <v>15</v>
      </c>
      <c r="T7" s="310"/>
      <c r="U7" s="310" t="s">
        <v>16</v>
      </c>
      <c r="V7" s="310"/>
      <c r="W7" s="310" t="s">
        <v>17</v>
      </c>
      <c r="X7" s="310"/>
      <c r="Y7" s="20"/>
    </row>
    <row r="8" spans="1:27" ht="21" customHeight="1" x14ac:dyDescent="0.2">
      <c r="A8" s="20"/>
      <c r="B8" s="20"/>
      <c r="D8" s="31" t="s">
        <v>18</v>
      </c>
      <c r="E8" s="78"/>
      <c r="F8" s="20"/>
      <c r="G8" s="20"/>
      <c r="H8" s="20"/>
      <c r="P8" s="310"/>
      <c r="Q8" s="310"/>
      <c r="R8" s="332"/>
      <c r="S8" s="310"/>
      <c r="T8" s="310"/>
      <c r="U8" s="310"/>
      <c r="V8" s="310"/>
      <c r="W8" s="310"/>
      <c r="X8" s="310"/>
      <c r="Y8" s="20"/>
    </row>
    <row r="9" spans="1:27" ht="21" customHeight="1" x14ac:dyDescent="0.2">
      <c r="A9" s="20"/>
      <c r="B9" s="20"/>
      <c r="D9" s="31" t="s">
        <v>19</v>
      </c>
      <c r="E9" s="79"/>
      <c r="F9" s="20"/>
      <c r="G9" s="20"/>
      <c r="H9" s="20"/>
      <c r="P9" s="348" t="str">
        <f>P11</f>
        <v>n/a</v>
      </c>
      <c r="Q9" s="348"/>
      <c r="R9" s="16"/>
      <c r="S9" s="311" t="str">
        <f>IF(S11=0,"n/a",S11)</f>
        <v>n/a</v>
      </c>
      <c r="T9" s="311"/>
      <c r="U9" s="311" t="str">
        <f>IF(U11=0,"n/a",U11)</f>
        <v>n/a</v>
      </c>
      <c r="V9" s="311"/>
      <c r="W9" s="311" t="str">
        <f>IF(W11=0,"n/a",W11)</f>
        <v>n/a</v>
      </c>
      <c r="X9" s="311"/>
      <c r="Y9" s="20"/>
    </row>
    <row r="10" spans="1:27" ht="18" customHeight="1" x14ac:dyDescent="0.2">
      <c r="A10" s="20"/>
      <c r="B10" s="20"/>
      <c r="E10" s="20"/>
      <c r="F10" s="20"/>
      <c r="G10" s="20"/>
      <c r="H10" s="20"/>
      <c r="I10" s="13"/>
      <c r="J10" s="13"/>
      <c r="Q10" s="74" t="s">
        <v>20</v>
      </c>
      <c r="R10" s="73" t="s">
        <v>21</v>
      </c>
      <c r="S10" s="32" t="s">
        <v>22</v>
      </c>
      <c r="T10" s="33"/>
      <c r="U10" s="34"/>
      <c r="V10" s="34"/>
      <c r="W10" s="34"/>
      <c r="X10" s="34"/>
    </row>
    <row r="11" spans="1:27" ht="16" customHeight="1" thickBot="1" x14ac:dyDescent="0.25">
      <c r="A11" s="35" t="s">
        <v>23</v>
      </c>
      <c r="B11" s="35"/>
      <c r="F11" s="20"/>
      <c r="G11" s="20"/>
      <c r="H11" s="20"/>
      <c r="I11" s="13"/>
      <c r="J11" s="36" t="s">
        <v>24</v>
      </c>
      <c r="M11" s="36" t="s">
        <v>24</v>
      </c>
      <c r="N11" s="36" t="s">
        <v>24</v>
      </c>
      <c r="O11" s="36" t="s">
        <v>24</v>
      </c>
      <c r="P11" s="37" t="str">
        <f>IF(AND(H28&gt;=2, SUM(H56:H59)&gt;=2),
    FLOOR(MIN(H28,SUM(H56:H59))/2,1)*350*2,
    "n/a")</f>
        <v>n/a</v>
      </c>
      <c r="S11" s="37" t="str">
        <f>IF(
    AND(
        L68+M98&gt;=10000,
        L68+M98&lt;55000,
        SUMIFS(L15:L67,E15:E67,"*Stressgard*")+SUMIFS(L15:L67,E15:E67,"*Chipco*")&gt;=10000
    ),
    0.01,
    IF(
        AND(
            L68+M98&gt;=55000,
            SUMIFS(L15:L67,E15:E67,"*Stressgard*")+SUMIFS(L15:L67,E15:E67,"*Chipco*")&gt;=10000
        ),
        0.02,
        "n/a"
    )
)</f>
        <v>n/a</v>
      </c>
      <c r="T11" s="38"/>
      <c r="U11" s="37" t="str">
        <f>IF(
    AND(
        L68+M98&gt;=5000,
        L68+M98&lt;55000,
        SUMIFS(H15:H67,E15:E67,"*Serata*")&gt;=8
    ),
    0.01,
    IF(
        AND(
            L68+M98&gt;=55000,
            SUMIFS(H15:H67,E15:E67,"*Serata*")&gt;=8
        ),
        0.02,
        "n/a"
    )
)</f>
        <v>n/a</v>
      </c>
      <c r="V11" s="37"/>
      <c r="W11" s="39" t="str">
        <f>IF(
    AND(
        L68+M98&gt;=5000,
        L68+M98&lt;55000,
        SUMIFS(H15:H67,E15:E67,"*Resilia*")&gt;=4
    ),
    0.01,
    IF(
        AND(
            L68+M98&gt;=55000,
            SUMIFS(H15:H67,E15:E67,"*Resilia*")&gt;=4
        ),
        0.02,
        "n/a"
    )
)</f>
        <v>n/a</v>
      </c>
      <c r="X11" s="37"/>
    </row>
    <row r="12" spans="1:27" ht="18.75" customHeight="1" x14ac:dyDescent="0.2">
      <c r="A12" s="334" t="s">
        <v>25</v>
      </c>
      <c r="B12" s="334" t="s">
        <v>26</v>
      </c>
      <c r="D12" s="336" t="s">
        <v>27</v>
      </c>
      <c r="E12" s="339" t="s">
        <v>28</v>
      </c>
      <c r="F12" s="342" t="s">
        <v>29</v>
      </c>
      <c r="G12" s="342" t="s">
        <v>30</v>
      </c>
      <c r="H12" s="345" t="s">
        <v>31</v>
      </c>
      <c r="I12" s="315" t="s">
        <v>32</v>
      </c>
      <c r="J12" s="315" t="s">
        <v>33</v>
      </c>
      <c r="K12" s="318" t="s">
        <v>34</v>
      </c>
      <c r="L12" s="315" t="s">
        <v>35</v>
      </c>
      <c r="M12" s="315" t="s">
        <v>36</v>
      </c>
      <c r="N12" s="315" t="s">
        <v>37</v>
      </c>
      <c r="O12" s="315" t="s">
        <v>38</v>
      </c>
      <c r="P12" s="315" t="s">
        <v>39</v>
      </c>
      <c r="Q12" s="315" t="s">
        <v>40</v>
      </c>
      <c r="R12" s="318" t="s">
        <v>41</v>
      </c>
      <c r="S12" s="321" t="s">
        <v>42</v>
      </c>
      <c r="T12" s="324" t="s">
        <v>43</v>
      </c>
      <c r="U12" s="312" t="s">
        <v>44</v>
      </c>
      <c r="V12" s="312" t="s">
        <v>45</v>
      </c>
      <c r="W12" s="312" t="s">
        <v>46</v>
      </c>
      <c r="X12" s="349" t="s">
        <v>47</v>
      </c>
    </row>
    <row r="13" spans="1:27" ht="31.5" customHeight="1" x14ac:dyDescent="0.2">
      <c r="A13" s="335"/>
      <c r="B13" s="335"/>
      <c r="D13" s="337"/>
      <c r="E13" s="340"/>
      <c r="F13" s="343"/>
      <c r="G13" s="343"/>
      <c r="H13" s="346"/>
      <c r="I13" s="316"/>
      <c r="J13" s="316"/>
      <c r="K13" s="319"/>
      <c r="L13" s="316"/>
      <c r="M13" s="316"/>
      <c r="N13" s="316"/>
      <c r="O13" s="316"/>
      <c r="P13" s="316"/>
      <c r="Q13" s="316"/>
      <c r="R13" s="319"/>
      <c r="S13" s="322"/>
      <c r="T13" s="325"/>
      <c r="U13" s="313"/>
      <c r="V13" s="327"/>
      <c r="W13" s="313"/>
      <c r="X13" s="350"/>
    </row>
    <row r="14" spans="1:27" ht="16.5" customHeight="1" thickBot="1" x14ac:dyDescent="0.25">
      <c r="A14" s="335"/>
      <c r="B14" s="335"/>
      <c r="D14" s="338"/>
      <c r="E14" s="341"/>
      <c r="F14" s="344"/>
      <c r="G14" s="344"/>
      <c r="H14" s="347"/>
      <c r="I14" s="317"/>
      <c r="J14" s="317"/>
      <c r="K14" s="320"/>
      <c r="L14" s="317"/>
      <c r="M14" s="317"/>
      <c r="N14" s="317"/>
      <c r="O14" s="317"/>
      <c r="P14" s="317"/>
      <c r="Q14" s="317"/>
      <c r="R14" s="320"/>
      <c r="S14" s="323"/>
      <c r="T14" s="326"/>
      <c r="U14" s="314"/>
      <c r="V14" s="328"/>
      <c r="W14" s="314"/>
      <c r="X14" s="351"/>
    </row>
    <row r="15" spans="1:27" ht="18.75" customHeight="1" x14ac:dyDescent="0.2">
      <c r="A15" s="176" t="s">
        <v>48</v>
      </c>
      <c r="B15" s="178" t="b">
        <f t="shared" ref="B15:B67" si="0">H15&gt;0</f>
        <v>0</v>
      </c>
      <c r="D15" s="217" t="str" cm="1">
        <f t="array" ref="D15">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(PRICING[SKU]=$A15)*
            (
                ((PRICING[Rebate $]&lt;&gt;"")*(PRICING[Rebate $]&lt;&gt;0))
                +
                (
                    (
                        ISNUMBER(SEARCH("*Ronstar*FLO*",PRICING[Product]))+
                        ISNUMBER(SEARCH("Altus*",PRICING[Product]))+
                        ISNUMBER(SEARCH("Kontos*",PRICING[Product]))
                    )*
                    (PRICING[Min Qty]&lt;&gt;0)
                )
            )
        )
    ),
    ""
)</f>
        <v>1-15 units</v>
      </c>
      <c r="E15" s="116" t="str">
        <f>_xlfn.XLOOKUP(A15, PRICING[SKU], PRICING[Product], "")</f>
        <v>Altus®</v>
      </c>
      <c r="F15" s="40" t="str">
        <f>_xlfn.XLOOKUP(A15, PRICING[SKU], PRICING[Size], "")</f>
        <v>64 oz</v>
      </c>
      <c r="G15" s="40" t="str">
        <f>IF(_xlfn.XLOOKUP(A15,PRICING[SKU],PRICING[Indication])="I","Insecticide",
 IF(_xlfn.XLOOKUP(A15,PRICING[SKU],PRICING[Indication])="H","Herbicide",
 IF(_xlfn.XLOOKUP(A15,PRICING[SKU],PRICING[Indication])="F","Fungicide",
 IF(_xlfn.XLOOKUP(A15,PRICING[SKU],PRICING[Indication])="PGR","PGR",""))))</f>
        <v>Insecticide</v>
      </c>
      <c r="H15" s="214"/>
      <c r="I15" s="41">
        <f>INDEX(PRICING[2026 In-Season Price],MATCH(A15,PRICING[SKU],0))</f>
        <v>471.04</v>
      </c>
      <c r="J15" s="42" t="str">
        <f t="shared" ref="J15:J67" si="1">IF(H15*I15= 0,"",H15*I15)</f>
        <v/>
      </c>
      <c r="K15" s="42">
        <f>INDEX(PRICING[NOW Price],MATCH(A15,PRICING[SKU],0))</f>
        <v>471.04</v>
      </c>
      <c r="L15" s="42" t="str">
        <f>IF(H15*K15= 0,"",ROUND(H15*K15,2))</f>
        <v/>
      </c>
      <c r="M15" s="43">
        <f>INDEX(Rebate_Lookup[Instances],MATCH(A15,Rebate_Lookup[SKU CODE],0))</f>
        <v>1</v>
      </c>
      <c r="N15" s="43" t="str">
        <f>IF(H15="","",INDEX(Rebate_Lookup[Qualified Rebate Tier],MATCH(A15,Rebate_Lookup[SKU CODE],0)))</f>
        <v/>
      </c>
      <c r="O15" s="42" t="str">
        <f>IF(OR(H15="",N15=""),"",
IF(N15=1,INDEX(Rebate_Lookup[REB_MOQ_1],MATCH(A15,Rebate_Lookup[SKU CODE],0)),
IF(N15=2,INDEX(Rebate_Lookup[REB_MOQ_2],MATCH(A15,Rebate_Lookup[SKU CODE],0)),
IF(N15=3,INDEX(Rebate_Lookup[REB_MOQ_3],MATCH(A15,Rebate_Lookup[SKU CODE],0)),
IF(N15=4,INDEX(Rebate_Lookup[REB_MOQ_4],MATCH(A15,Rebate_Lookup[SKU CODE],0)),
"#err")))))</f>
        <v/>
      </c>
      <c r="P15" s="44" t="str">
        <f>IF(L68&gt;5000,IF(OR(O15=0,O15=""),"",H15*O15),"")</f>
        <v/>
      </c>
      <c r="Q15" s="44" t="str">
        <f>IF(
    H15&gt;0,
    IF(
        OR(
            AND(ISNUMBER(SEARCH("Specticle",E15)),ISNUMBER(SEARCH("FLO",E15))),
            AND(ISNUMBER(SEARCH("Ronstar",E15)),ISNUMBER(SEARCH("FLO",E15)))
        ),
        IF(
            AND(_xlfn.XLOOKUP(A15,PRICING[SKU],PRICING[October Bonus],FALSE),$R$10="YES"),
            ROUND(L15*$G$113,2),
            "N/A"
        ),
        IFERROR(
            IF(
                _xlfn.XLOOKUP(A15,PRICING[SKU],PRICING[October Bonus],FALSE),
                ROUND(L15*SUM($G$109:$G$113),2),
                ROUND(L15*SUM($G$109:$G$112),2)
            ),
            ""
        )
    ),
    ""
)</f>
        <v/>
      </c>
      <c r="R15" s="42" t="str">
        <f>IFERROR(ROUND((L15-SUM(P15:Q15))/H15,2),"")</f>
        <v/>
      </c>
      <c r="S15" s="203" t="str">
        <f>IF(AND(H15&lt;&gt;"",H15&gt;0), ROUND(H15*R15,2),"")</f>
        <v/>
      </c>
      <c r="T15" s="204" cm="1">
        <f t="array" ref="T15">IF(OR(H15="",H15=0),
ROUND(_xlfn.XLOOKUP(1,(PRICING[SKU]=A15)*(PRICING[Set]=1),PRICING[Standard Use Rate (oz/M)]),2),ROUND(
_xlfn.XLOOKUP(
1,
(PRICING[SKU]=A15)*
(PRICING[Set]=IF(
_xlfn.XLOOKUP(A15,Rebate_Lookup[SKU CODE],Rebate_Lookup[MOQ_2])=0,
1,
IF(
AND(
_xlfn.XLOOKUP(A15,Rebate_Lookup[SKU CODE],Rebate_Lookup[MOQ_3])=0,
H15&gt;=_xlfn.XLOOKUP(A15,Rebate_Lookup[SKU CODE],Rebate_Lookup[MOQ_2])
),
2,
IF(
AND(
H15&gt;=_xlfn.XLOOKUP(A15,Rebate_Lookup[SKU CODE],Rebate_Lookup[MOQ_1]),
H15&lt;_xlfn.XLOOKUP(A15,Rebate_Lookup[SKU CODE],Rebate_Lookup[MOQ_2])
),
1,
IF(
AND(
H15&gt;=_xlfn.XLOOKUP(A15,Rebate_Lookup[SKU CODE],Rebate_Lookup[MOQ_2]),
OR(
_xlfn.XLOOKUP(A15,Rebate_Lookup[SKU CODE],Rebate_Lookup[MOQ_3])=0,
H15&lt;_xlfn.XLOOKUP(A15,Rebate_Lookup[SKU CODE],Rebate_Lookup[MOQ_3])
)
),
2,
IF(
OR(
AND(
_xlfn.XLOOKUP(A15,Rebate_Lookup[SKU CODE],Rebate_Lookup[MOQ_4])=0,
H15&gt;=_xlfn.XLOOKUP(A15,Rebate_Lookup[SKU CODE],Rebate_Lookup[MOQ_3])
),
AND(
_xlfn.XLOOKUP(A15,Rebate_Lookup[SKU CODE],Rebate_Lookup[MOQ_4])&gt;0,
H15&gt;=_xlfn.XLOOKUP(A15,Rebate_Lookup[SKU CODE],Rebate_Lookup[MOQ_3]),
H15&lt;_xlfn.XLOOKUP(A15,Rebate_Lookup[SKU CODE],Rebate_Lookup[MOQ_4])
)
),
3,
IF(
AND(
_xlfn.XLOOKUP(A15,Rebate_Lookup[SKU CODE],Rebate_Lookup[MOQ_4])&gt;0,
H15&gt;=_xlfn.XLOOKUP(A15,Rebate_Lookup[SKU CODE],Rebate_Lookup[MOQ_4])
),
4,
1
)
)
)
)
)
)),
PRICING[Standard Use Rate (oz/M)]
),
2
))</f>
        <v>0.32</v>
      </c>
      <c r="U15" s="117">
        <f>ROUND(T15*43.56,2)</f>
        <v>13.94</v>
      </c>
      <c r="V15" s="117" t="str">
        <f>IF(AND(TRIM(U15)&lt;&gt;"",TRIM(H15)&lt;&gt;""),ROUND(H15*INDEX(PRICING[Package Ounces],MATCH(A15,PRICING[SKU],0))/U15,2),"")</f>
        <v/>
      </c>
      <c r="W15" s="220">
        <f>IF(H15&lt;&gt;0,ROUND(S15/V15,2),0)</f>
        <v>0</v>
      </c>
      <c r="X15" s="221">
        <f>ROUND(W15/43.56,2)</f>
        <v>0</v>
      </c>
      <c r="AA15" s="48"/>
    </row>
    <row r="16" spans="1:27" ht="18.75" customHeight="1" x14ac:dyDescent="0.2">
      <c r="A16" s="175" t="s">
        <v>49</v>
      </c>
      <c r="B16" s="178" t="b">
        <f t="shared" si="0"/>
        <v>0</v>
      </c>
      <c r="D16" s="218" t="str" cm="1">
        <f t="array" ref="D16">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(PRICING[SKU]=$A16)*
            (
                ((PRICING[Rebate $]&lt;&gt;"")*(PRICING[Rebate $]&lt;&gt;0))
                +
                (
                    (
                        ISNUMBER(SEARCH("*Ronstar*FLO*",PRICING[Product]))+
                        ISNUMBER(SEARCH("Altus*",PRICING[Product]))+
                        ISNUMBER(SEARCH("Kontos*",PRICING[Product]))
                    )*
                    (PRICING[Min Qty]&lt;&gt;0)
                )
            )
        )
    ),
    ""
)</f>
        <v>16-31 units</v>
      </c>
      <c r="E16" s="215" t="str">
        <f>_xlfn.XLOOKUP(A16, PRICING[SKU], PRICING[Product], "")</f>
        <v>Altus®</v>
      </c>
      <c r="F16" s="46" t="str">
        <f>_xlfn.XLOOKUP(A16, PRICING[SKU], PRICING[Size], "")</f>
        <v>64 oz</v>
      </c>
      <c r="G16" s="40" t="str">
        <f>IF(_xlfn.XLOOKUP(A16,PRICING[SKU],PRICING[Indication])="I","Insecticide",
 IF(_xlfn.XLOOKUP(A16,PRICING[SKU],PRICING[Indication])="H","Herbicide",
 IF(_xlfn.XLOOKUP(A16,PRICING[SKU],PRICING[Indication])="F","Fungicide",
 IF(_xlfn.XLOOKUP(A16,PRICING[SKU],PRICING[Indication])="PGR","PGR",""))))</f>
        <v>Insecticide</v>
      </c>
      <c r="H16" s="47"/>
      <c r="I16" s="41">
        <f>INDEX(PRICING[2026 In-Season Price],MATCH(A16,PRICING[SKU],0))</f>
        <v>471.04</v>
      </c>
      <c r="J16" s="42" t="str">
        <f t="shared" si="1"/>
        <v/>
      </c>
      <c r="K16" s="42">
        <f>INDEX(PRICING[NOW Price],MATCH(A16,PRICING[SKU],0))</f>
        <v>447.36</v>
      </c>
      <c r="L16" s="42" t="str">
        <f t="shared" ref="L16:L67" si="2">IF(H16*K16= 0,"",ROUND(H16*K16,2))</f>
        <v/>
      </c>
      <c r="M16" s="43">
        <f>INDEX(Rebate_Lookup[Instances],MATCH(A16,Rebate_Lookup[SKU CODE],0))</f>
        <v>1</v>
      </c>
      <c r="N16" s="43" t="str">
        <f>IF(H16="","",INDEX(Rebate_Lookup[Qualified Rebate Tier],MATCH(A16,Rebate_Lookup[SKU CODE],0)))</f>
        <v/>
      </c>
      <c r="O16" s="42" t="str">
        <f>IF(OR(H16="",N16=""),"",
IF(N16=1,INDEX(Rebate_Lookup[REB_MOQ_1],MATCH(A16,Rebate_Lookup[SKU CODE],0)),
IF(N16=2,INDEX(Rebate_Lookup[REB_MOQ_2],MATCH(A16,Rebate_Lookup[SKU CODE],0)),
IF(N16=3,INDEX(Rebate_Lookup[REB_MOQ_3],MATCH(A16,Rebate_Lookup[SKU CODE],0)),
IF(N16=4,INDEX(Rebate_Lookup[REB_MOQ_4],MATCH(A16,Rebate_Lookup[SKU CODE],0)),
"#err")))))</f>
        <v/>
      </c>
      <c r="P16" s="44" t="str">
        <f>IF(L68&gt;5000,IF(OR(O16=0,O16=""),"",H16*O16),"")</f>
        <v/>
      </c>
      <c r="Q16" s="44" t="str">
        <f>IF(
    H16&gt;0,
    IF(
        OR(
            AND(ISNUMBER(SEARCH("Specticle",E16)),ISNUMBER(SEARCH("FLO",E16))),
            AND(ISNUMBER(SEARCH("Ronstar",E16)),ISNUMBER(SEARCH("FLO",E16)))
        ),
        IF(
            AND(_xlfn.XLOOKUP(A16,PRICING[SKU],PRICING[October Bonus],FALSE),$R$10="YES"),
            ROUND(L16*$G$113,2),
            "N/A"
        ),
        IFERROR(
            IF(
                _xlfn.XLOOKUP(A16,PRICING[SKU],PRICING[October Bonus],FALSE),
                ROUND(L16*SUM($G$109:$G$113),2),
                ROUND(L16*SUM($G$109:$G$112),2)
            ),
            ""
        )
    ),
    ""
)</f>
        <v/>
      </c>
      <c r="R16" s="42" t="str">
        <f t="shared" ref="R16:R68" si="3">IFERROR(ROUND((L16-SUM(P16:Q16))/H16,2),"")</f>
        <v/>
      </c>
      <c r="S16" s="203" t="str">
        <f t="shared" ref="S16:S67" si="4">IF(AND(H16&lt;&gt;"",H16&gt;0), ROUND(H16*R16,2),"")</f>
        <v/>
      </c>
      <c r="T16" s="204" cm="1">
        <f t="array" ref="T16">IF(OR(H16="",H16=0),
ROUND(_xlfn.XLOOKUP(1,(PRICING[SKU]=A16)*(PRICING[Set]=1),PRICING[Standard Use Rate (oz/M)]),2),ROUND(
_xlfn.XLOOKUP(
1,
(PRICING[SKU]=A16)*
(PRICING[Set]=IF(
_xlfn.XLOOKUP(A16,Rebate_Lookup[SKU CODE],Rebate_Lookup[MOQ_2])=0,
1,
IF(
AND(
_xlfn.XLOOKUP(A16,Rebate_Lookup[SKU CODE],Rebate_Lookup[MOQ_3])=0,
H16&gt;=_xlfn.XLOOKUP(A16,Rebate_Lookup[SKU CODE],Rebate_Lookup[MOQ_2])
),
2,
IF(
AND(
H16&gt;=_xlfn.XLOOKUP(A16,Rebate_Lookup[SKU CODE],Rebate_Lookup[MOQ_1]),
H16&lt;_xlfn.XLOOKUP(A16,Rebate_Lookup[SKU CODE],Rebate_Lookup[MOQ_2])
),
1,
IF(
AND(
H16&gt;=_xlfn.XLOOKUP(A16,Rebate_Lookup[SKU CODE],Rebate_Lookup[MOQ_2]),
OR(
_xlfn.XLOOKUP(A16,Rebate_Lookup[SKU CODE],Rebate_Lookup[MOQ_3])=0,
H16&lt;_xlfn.XLOOKUP(A16,Rebate_Lookup[SKU CODE],Rebate_Lookup[MOQ_3])
)
),
2,
IF(
OR(
AND(
_xlfn.XLOOKUP(A16,Rebate_Lookup[SKU CODE],Rebate_Lookup[MOQ_4])=0,
H16&gt;=_xlfn.XLOOKUP(A16,Rebate_Lookup[SKU CODE],Rebate_Lookup[MOQ_3])
),
AND(
_xlfn.XLOOKUP(A16,Rebate_Lookup[SKU CODE],Rebate_Lookup[MOQ_4])&gt;0,
H16&gt;=_xlfn.XLOOKUP(A16,Rebate_Lookup[SKU CODE],Rebate_Lookup[MOQ_3]),
H16&lt;_xlfn.XLOOKUP(A16,Rebate_Lookup[SKU CODE],Rebate_Lookup[MOQ_4])
)
),
3,
IF(
AND(
_xlfn.XLOOKUP(A16,Rebate_Lookup[SKU CODE],Rebate_Lookup[MOQ_4])&gt;0,
H16&gt;=_xlfn.XLOOKUP(A16,Rebate_Lookup[SKU CODE],Rebate_Lookup[MOQ_4])
),
4,
1
)
)
)
)
)
)),
PRICING[Standard Use Rate (oz/M)]
),
2
))</f>
        <v>0.32</v>
      </c>
      <c r="U16" s="117">
        <f t="shared" ref="U16:U67" si="5">ROUND(T16*43.56,2)</f>
        <v>13.94</v>
      </c>
      <c r="V16" s="45" t="str">
        <f>IF(AND(TRIM(U16)&lt;&gt;"",TRIM(H16)&lt;&gt;""),ROUND(H16*INDEX(PRICING[Package Ounces],MATCH(A16,PRICING[SKU],0))/U16,2),"")</f>
        <v/>
      </c>
      <c r="W16" s="222">
        <f t="shared" ref="W16:W67" si="6">IF(H16&lt;&gt;0,ROUND(S16/V16,2),0)</f>
        <v>0</v>
      </c>
      <c r="X16" s="221">
        <f t="shared" ref="X16:X67" si="7">ROUND(W16/43.56,2)</f>
        <v>0</v>
      </c>
      <c r="AA16" s="48"/>
    </row>
    <row r="17" spans="1:27" ht="18.75" customHeight="1" x14ac:dyDescent="0.2">
      <c r="A17" s="175" t="s">
        <v>50</v>
      </c>
      <c r="B17" s="178" t="b">
        <f t="shared" si="0"/>
        <v>0</v>
      </c>
      <c r="D17" s="218" t="str" cm="1">
        <f t="array" ref="D17">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(PRICING[SKU]=$A17)*
            (
                ((PRICING[Rebate $]&lt;&gt;"")*(PRICING[Rebate $]&lt;&gt;0))
                +
                (
                    (
                        ISNUMBER(SEARCH("*Ronstar*FLO*",PRICING[Product]))+
                        ISNUMBER(SEARCH("Altus*",PRICING[Product]))+
                        ISNUMBER(SEARCH("Kontos*",PRICING[Product]))
                    )*
                    (PRICING[Min Qty]&lt;&gt;0)
                )
            )
        )
    ),
    ""
)</f>
        <v>32+ units</v>
      </c>
      <c r="E17" s="215" t="str">
        <f>_xlfn.XLOOKUP(A17, PRICING[SKU], PRICING[Product], "")</f>
        <v>Altus®</v>
      </c>
      <c r="F17" s="46" t="str">
        <f>_xlfn.XLOOKUP(A17, PRICING[SKU], PRICING[Size], "")</f>
        <v>64 oz</v>
      </c>
      <c r="G17" s="40" t="str">
        <f>IF(_xlfn.XLOOKUP(A17,PRICING[SKU],PRICING[Indication])="I","Insecticide",
 IF(_xlfn.XLOOKUP(A17,PRICING[SKU],PRICING[Indication])="H","Herbicide",
 IF(_xlfn.XLOOKUP(A17,PRICING[SKU],PRICING[Indication])="F","Fungicide",
 IF(_xlfn.XLOOKUP(A17,PRICING[SKU],PRICING[Indication])="PGR","PGR",""))))</f>
        <v>Insecticide</v>
      </c>
      <c r="H17" s="47"/>
      <c r="I17" s="41">
        <f>INDEX(PRICING[2026 In-Season Price],MATCH(A17,PRICING[SKU],0))</f>
        <v>471.04</v>
      </c>
      <c r="J17" s="42" t="str">
        <f t="shared" si="1"/>
        <v/>
      </c>
      <c r="K17" s="42">
        <f>INDEX(PRICING[NOW Price],MATCH(A17,PRICING[SKU],0))</f>
        <v>423.68</v>
      </c>
      <c r="L17" s="42" t="str">
        <f t="shared" si="2"/>
        <v/>
      </c>
      <c r="M17" s="43">
        <f>INDEX(Rebate_Lookup[Instances],MATCH(A17,Rebate_Lookup[SKU CODE],0))</f>
        <v>1</v>
      </c>
      <c r="N17" s="43" t="str">
        <f>IF(H17="","",INDEX(Rebate_Lookup[Qualified Rebate Tier],MATCH(A17,Rebate_Lookup[SKU CODE],0)))</f>
        <v/>
      </c>
      <c r="O17" s="42" t="str">
        <f>IF(OR(H17="",N17=""),"",
IF(N17=1,INDEX(Rebate_Lookup[REB_MOQ_1],MATCH(A17,Rebate_Lookup[SKU CODE],0)),
IF(N17=2,INDEX(Rebate_Lookup[REB_MOQ_2],MATCH(A17,Rebate_Lookup[SKU CODE],0)),
IF(N17=3,INDEX(Rebate_Lookup[REB_MOQ_3],MATCH(A17,Rebate_Lookup[SKU CODE],0)),
IF(N17=4,INDEX(Rebate_Lookup[REB_MOQ_4],MATCH(A17,Rebate_Lookup[SKU CODE],0)),
"#err")))))</f>
        <v/>
      </c>
      <c r="P17" s="44" t="str">
        <f>IF(L68&gt;5000,IF(OR(O17=0,O17=""),"",H17*O17),"")</f>
        <v/>
      </c>
      <c r="Q17" s="44" t="str">
        <f>IF(
    H17&gt;0,
    IF(
        OR(
            AND(ISNUMBER(SEARCH("Specticle",E17)),ISNUMBER(SEARCH("FLO",E17))),
            AND(ISNUMBER(SEARCH("Ronstar",E17)),ISNUMBER(SEARCH("FLO",E17)))
        ),
        IF(
            AND(_xlfn.XLOOKUP(A17,PRICING[SKU],PRICING[October Bonus],FALSE),$R$10="YES"),
            ROUND(L17*$G$113,2),
            "N/A"
        ),
        IFERROR(
            IF(
                _xlfn.XLOOKUP(A17,PRICING[SKU],PRICING[October Bonus],FALSE),
                ROUND(L17*SUM($G$109:$G$113),2),
                ROUND(L17*SUM($G$109:$G$112),2)
            ),
            ""
        )
    ),
    ""
)</f>
        <v/>
      </c>
      <c r="R17" s="42" t="str">
        <f t="shared" si="3"/>
        <v/>
      </c>
      <c r="S17" s="203" t="str">
        <f t="shared" si="4"/>
        <v/>
      </c>
      <c r="T17" s="204" cm="1">
        <f t="array" ref="T17">IF(OR(H17="",H17=0),
ROUND(_xlfn.XLOOKUP(1,(PRICING[SKU]=A17)*(PRICING[Set]=1),PRICING[Standard Use Rate (oz/M)]),2),ROUND(
_xlfn.XLOOKUP(
1,
(PRICING[SKU]=A17)*
(PRICING[Set]=IF(
_xlfn.XLOOKUP(A17,Rebate_Lookup[SKU CODE],Rebate_Lookup[MOQ_2])=0,
1,
IF(
AND(
_xlfn.XLOOKUP(A17,Rebate_Lookup[SKU CODE],Rebate_Lookup[MOQ_3])=0,
H17&gt;=_xlfn.XLOOKUP(A17,Rebate_Lookup[SKU CODE],Rebate_Lookup[MOQ_2])
),
2,
IF(
AND(
H17&gt;=_xlfn.XLOOKUP(A17,Rebate_Lookup[SKU CODE],Rebate_Lookup[MOQ_1]),
H17&lt;_xlfn.XLOOKUP(A17,Rebate_Lookup[SKU CODE],Rebate_Lookup[MOQ_2])
),
1,
IF(
AND(
H17&gt;=_xlfn.XLOOKUP(A17,Rebate_Lookup[SKU CODE],Rebate_Lookup[MOQ_2]),
OR(
_xlfn.XLOOKUP(A17,Rebate_Lookup[SKU CODE],Rebate_Lookup[MOQ_3])=0,
H17&lt;_xlfn.XLOOKUP(A17,Rebate_Lookup[SKU CODE],Rebate_Lookup[MOQ_3])
)
),
2,
IF(
OR(
AND(
_xlfn.XLOOKUP(A17,Rebate_Lookup[SKU CODE],Rebate_Lookup[MOQ_4])=0,
H17&gt;=_xlfn.XLOOKUP(A17,Rebate_Lookup[SKU CODE],Rebate_Lookup[MOQ_3])
),
AND(
_xlfn.XLOOKUP(A17,Rebate_Lookup[SKU CODE],Rebate_Lookup[MOQ_4])&gt;0,
H17&gt;=_xlfn.XLOOKUP(A17,Rebate_Lookup[SKU CODE],Rebate_Lookup[MOQ_3]),
H17&lt;_xlfn.XLOOKUP(A17,Rebate_Lookup[SKU CODE],Rebate_Lookup[MOQ_4])
)
),
3,
IF(
AND(
_xlfn.XLOOKUP(A17,Rebate_Lookup[SKU CODE],Rebate_Lookup[MOQ_4])&gt;0,
H17&gt;=_xlfn.XLOOKUP(A17,Rebate_Lookup[SKU CODE],Rebate_Lookup[MOQ_4])
),
4,
1
)
)
)
)
)
)),
PRICING[Standard Use Rate (oz/M)]
),
2
))</f>
        <v>0.32</v>
      </c>
      <c r="U17" s="117">
        <f t="shared" si="5"/>
        <v>13.94</v>
      </c>
      <c r="V17" s="45" t="str">
        <f>IF(AND(TRIM(U17)&lt;&gt;"",TRIM(H17)&lt;&gt;""),ROUND(H17*INDEX(PRICING[Package Ounces],MATCH(A17,PRICING[SKU],0))/U17,2),"")</f>
        <v/>
      </c>
      <c r="W17" s="222">
        <f t="shared" si="6"/>
        <v>0</v>
      </c>
      <c r="X17" s="221">
        <f t="shared" si="7"/>
        <v>0</v>
      </c>
      <c r="AA17" s="48"/>
    </row>
    <row r="18" spans="1:27" ht="18.75" customHeight="1" x14ac:dyDescent="0.2">
      <c r="A18" s="174" t="s">
        <v>51</v>
      </c>
      <c r="B18" s="178" t="b">
        <f t="shared" si="0"/>
        <v>0</v>
      </c>
      <c r="D18" s="218" t="str" cm="1">
        <f t="array" ref="D18">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(PRICING[SKU]=$A18)*
            (
                ((PRICING[Rebate $]&lt;&gt;"")*(PRICING[Rebate $]&lt;&gt;0))
                +
                (
                    (
                        ISNUMBER(SEARCH("*Ronstar*FLO*",PRICING[Product]))+
                        ISNUMBER(SEARCH("Altus*",PRICING[Product]))+
                        ISNUMBER(SEARCH("Kontos*",PRICING[Product]))
                    )*
                    (PRICING[Min Qty]&lt;&gt;0)
                )
            )
        )
    ),
    ""
)</f>
        <v>$75.00 off on 2+ units</v>
      </c>
      <c r="E18" s="215" t="str">
        <f>_xlfn.XLOOKUP(A18, PRICING[SKU], PRICING[Product], "")</f>
        <v>Banol®</v>
      </c>
      <c r="F18" s="46" t="str">
        <f>_xlfn.XLOOKUP(A18, PRICING[SKU], PRICING[Size], "")</f>
        <v xml:space="preserve">2.5 gal </v>
      </c>
      <c r="G18" s="40" t="str">
        <f>IF(_xlfn.XLOOKUP(A18,PRICING[SKU],PRICING[Indication])="I","Insecticide",
 IF(_xlfn.XLOOKUP(A18,PRICING[SKU],PRICING[Indication])="H","Herbicide",
 IF(_xlfn.XLOOKUP(A18,PRICING[SKU],PRICING[Indication])="F","Fungicide",
 IF(_xlfn.XLOOKUP(A18,PRICING[SKU],PRICING[Indication])="PGR","PGR",""))))</f>
        <v>Fungicide</v>
      </c>
      <c r="H18" s="47"/>
      <c r="I18" s="41">
        <f>INDEX(PRICING[2026 In-Season Price],MATCH(A18,PRICING[SKU],0))</f>
        <v>1363.2</v>
      </c>
      <c r="J18" s="42" t="str">
        <f t="shared" si="1"/>
        <v/>
      </c>
      <c r="K18" s="42">
        <f>INDEX(PRICING[NOW Price],MATCH(A18,PRICING[SKU],0))</f>
        <v>1363.2</v>
      </c>
      <c r="L18" s="42" t="str">
        <f t="shared" si="2"/>
        <v/>
      </c>
      <c r="M18" s="43">
        <f>INDEX(Rebate_Lookup[Instances],MATCH(A18,Rebate_Lookup[SKU CODE],0))</f>
        <v>2</v>
      </c>
      <c r="N18" s="43" t="str">
        <f>IF(H18="","",INDEX(Rebate_Lookup[Qualified Rebate Tier],MATCH(A18,Rebate_Lookup[SKU CODE],0)))</f>
        <v/>
      </c>
      <c r="O18" s="42" t="str">
        <f>IF(OR(H18="",N18=""),"",
IF(N18=1,INDEX(Rebate_Lookup[REB_MOQ_1],MATCH(A18,Rebate_Lookup[SKU CODE],0)),
IF(N18=2,INDEX(Rebate_Lookup[REB_MOQ_2],MATCH(A18,Rebate_Lookup[SKU CODE],0)),
IF(N18=3,INDEX(Rebate_Lookup[REB_MOQ_3],MATCH(A18,Rebate_Lookup[SKU CODE],0)),
IF(N18=4,INDEX(Rebate_Lookup[REB_MOQ_4],MATCH(A18,Rebate_Lookup[SKU CODE],0)),
"#err")))))</f>
        <v/>
      </c>
      <c r="P18" s="44" t="str">
        <f>IF(L68&gt;5000,IF(OR(O18=0,O18=""),"",H18*O18),"")</f>
        <v/>
      </c>
      <c r="Q18" s="44" t="str">
        <f>IF(
    H18&gt;0,
    IF(
        OR(
            AND(ISNUMBER(SEARCH("Specticle",E18)),ISNUMBER(SEARCH("FLO",E18))),
            AND(ISNUMBER(SEARCH("Ronstar",E18)),ISNUMBER(SEARCH("FLO",E18)))
        ),
        IF(
            AND(_xlfn.XLOOKUP(A18,PRICING[SKU],PRICING[October Bonus],FALSE),$R$10="YES"),
            ROUND(L18*$G$113,2),
            "N/A"
        ),
        IFERROR(
            IF(
                _xlfn.XLOOKUP(A18,PRICING[SKU],PRICING[October Bonus],FALSE),
                ROUND(L18*SUM($G$109:$G$113),2),
                ROUND(L18*SUM($G$109:$G$112),2)
            ),
            ""
        )
    ),
    ""
)</f>
        <v/>
      </c>
      <c r="R18" s="42" t="str">
        <f t="shared" si="3"/>
        <v/>
      </c>
      <c r="S18" s="203" t="str">
        <f t="shared" si="4"/>
        <v/>
      </c>
      <c r="T18" s="204" cm="1">
        <f t="array" ref="T18">IF(OR(H18="",H18=0),
ROUND(_xlfn.XLOOKUP(1,(PRICING[SKU]=A18)*(PRICING[Set]=1),PRICING[Standard Use Rate (oz/M)]),2),ROUND(
_xlfn.XLOOKUP(
1,
(PRICING[SKU]=A18)*
(PRICING[Set]=IF(
_xlfn.XLOOKUP(A18,Rebate_Lookup[SKU CODE],Rebate_Lookup[MOQ_2])=0,
1,
IF(
AND(
_xlfn.XLOOKUP(A18,Rebate_Lookup[SKU CODE],Rebate_Lookup[MOQ_3])=0,
H18&gt;=_xlfn.XLOOKUP(A18,Rebate_Lookup[SKU CODE],Rebate_Lookup[MOQ_2])
),
2,
IF(
AND(
H18&gt;=_xlfn.XLOOKUP(A18,Rebate_Lookup[SKU CODE],Rebate_Lookup[MOQ_1]),
H18&lt;_xlfn.XLOOKUP(A18,Rebate_Lookup[SKU CODE],Rebate_Lookup[MOQ_2])
),
1,
IF(
AND(
H18&gt;=_xlfn.XLOOKUP(A18,Rebate_Lookup[SKU CODE],Rebate_Lookup[MOQ_2]),
OR(
_xlfn.XLOOKUP(A18,Rebate_Lookup[SKU CODE],Rebate_Lookup[MOQ_3])=0,
H18&lt;_xlfn.XLOOKUP(A18,Rebate_Lookup[SKU CODE],Rebate_Lookup[MOQ_3])
)
),
2,
IF(
OR(
AND(
_xlfn.XLOOKUP(A18,Rebate_Lookup[SKU CODE],Rebate_Lookup[MOQ_4])=0,
H18&gt;=_xlfn.XLOOKUP(A18,Rebate_Lookup[SKU CODE],Rebate_Lookup[MOQ_3])
),
AND(
_xlfn.XLOOKUP(A18,Rebate_Lookup[SKU CODE],Rebate_Lookup[MOQ_4])&gt;0,
H18&gt;=_xlfn.XLOOKUP(A18,Rebate_Lookup[SKU CODE],Rebate_Lookup[MOQ_3]),
H18&lt;_xlfn.XLOOKUP(A18,Rebate_Lookup[SKU CODE],Rebate_Lookup[MOQ_4])
)
),
3,
IF(
AND(
_xlfn.XLOOKUP(A18,Rebate_Lookup[SKU CODE],Rebate_Lookup[MOQ_4])&gt;0,
H18&gt;=_xlfn.XLOOKUP(A18,Rebate_Lookup[SKU CODE],Rebate_Lookup[MOQ_4])
),
4,
1
)
)
)
)
)
)),
PRICING[Standard Use Rate (oz/M)]
),
2
))</f>
        <v>2</v>
      </c>
      <c r="U18" s="117">
        <f t="shared" si="5"/>
        <v>87.12</v>
      </c>
      <c r="V18" s="45" t="str">
        <f>IF(AND(TRIM(U18)&lt;&gt;"",TRIM(H18)&lt;&gt;""),ROUND(H18*INDEX(PRICING[Package Ounces],MATCH(A18,PRICING[SKU],0))/U18,2),"")</f>
        <v/>
      </c>
      <c r="W18" s="222">
        <f t="shared" si="6"/>
        <v>0</v>
      </c>
      <c r="X18" s="221">
        <f t="shared" si="7"/>
        <v>0</v>
      </c>
      <c r="AA18" s="48"/>
    </row>
    <row r="19" spans="1:27" ht="18.75" customHeight="1" x14ac:dyDescent="0.2">
      <c r="A19" s="175" t="s">
        <v>52</v>
      </c>
      <c r="B19" s="178" t="b">
        <f t="shared" si="0"/>
        <v>0</v>
      </c>
      <c r="D19" s="218" t="str" cm="1">
        <f t="array" ref="D19">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(PRICING[SKU]=$A19)*
            (
                ((PRICING[Rebate $]&lt;&gt;"")*(PRICING[Rebate $]&lt;&gt;0))
                +
                (
                    (
                        ISNUMBER(SEARCH("*Ronstar*FLO*",PRICING[Product]))+
                        ISNUMBER(SEARCH("Altus*",PRICING[Product]))+
                        ISNUMBER(SEARCH("Kontos*",PRICING[Product]))
                    )*
                    (PRICING[Min Qty]&lt;&gt;0)
                )
            )
        )
    ),
    ""
)</f>
        <v>$28.00 off on 1 unit</v>
      </c>
      <c r="E19" s="215" t="str">
        <f>_xlfn.XLOOKUP(A19, PRICING[SKU], PRICING[Product], "")</f>
        <v>Castlon®</v>
      </c>
      <c r="F19" s="46" t="str">
        <f>_xlfn.XLOOKUP(A19, PRICING[SKU], PRICING[Size], "")</f>
        <v>16 oz</v>
      </c>
      <c r="G19" s="40" t="str">
        <f>IF(_xlfn.XLOOKUP(A19,PRICING[SKU],PRICING[Indication])="I","Insecticide",
 IF(_xlfn.XLOOKUP(A19,PRICING[SKU],PRICING[Indication])="H","Herbicide",
 IF(_xlfn.XLOOKUP(A19,PRICING[SKU],PRICING[Indication])="F","Fungicide",
 IF(_xlfn.XLOOKUP(A19,PRICING[SKU],PRICING[Indication])="PGR","PGR",""))))</f>
        <v>Fungicide</v>
      </c>
      <c r="H19" s="47"/>
      <c r="I19" s="41">
        <f>INDEX(PRICING[2026 In-Season Price],MATCH(A19,PRICING[SKU],0))</f>
        <v>357.92</v>
      </c>
      <c r="J19" s="42" t="str">
        <f t="shared" si="1"/>
        <v/>
      </c>
      <c r="K19" s="42">
        <f>INDEX(PRICING[NOW Price],MATCH(A19,PRICING[SKU],0))</f>
        <v>305.60000000000002</v>
      </c>
      <c r="L19" s="42" t="str">
        <f t="shared" si="2"/>
        <v/>
      </c>
      <c r="M19" s="43">
        <f>INDEX(Rebate_Lookup[Instances],MATCH(A19,Rebate_Lookup[SKU CODE],0))</f>
        <v>1</v>
      </c>
      <c r="N19" s="43" t="str">
        <f>IF(H19="","",INDEX(Rebate_Lookup[Qualified Rebate Tier],MATCH(A19,Rebate_Lookup[SKU CODE],0)))</f>
        <v/>
      </c>
      <c r="O19" s="42" t="str">
        <f>IF(OR(H19="",N19=""),"",
IF(N19=1,INDEX(Rebate_Lookup[REB_MOQ_1],MATCH(A19,Rebate_Lookup[SKU CODE],0)),
IF(N19=2,INDEX(Rebate_Lookup[REB_MOQ_2],MATCH(A19,Rebate_Lookup[SKU CODE],0)),
IF(N19=3,INDEX(Rebate_Lookup[REB_MOQ_3],MATCH(A19,Rebate_Lookup[SKU CODE],0)),
IF(N19=4,INDEX(Rebate_Lookup[REB_MOQ_4],MATCH(A19,Rebate_Lookup[SKU CODE],0)),
"#err")))))</f>
        <v/>
      </c>
      <c r="P19" s="44" t="str">
        <f>IF(L68&gt;5000,IF(OR(O19=0,O19=""),"",H19*O19),"")</f>
        <v/>
      </c>
      <c r="Q19" s="44" t="str">
        <f>IF(
    H19&gt;0,
    IF(
        OR(
            AND(ISNUMBER(SEARCH("Specticle",E19)),ISNUMBER(SEARCH("FLO",E19))),
            AND(ISNUMBER(SEARCH("Ronstar",E19)),ISNUMBER(SEARCH("FLO",E19)))
        ),
        IF(
            AND(_xlfn.XLOOKUP(A19,PRICING[SKU],PRICING[October Bonus],FALSE),$R$10="YES"),
            ROUND(L19*$G$113,2),
            "N/A"
        ),
        IFERROR(
            IF(
                _xlfn.XLOOKUP(A19,PRICING[SKU],PRICING[October Bonus],FALSE),
                ROUND(L19*SUM($G$109:$G$113),2),
                ROUND(L19*SUM($G$109:$G$112),2)
            ),
            ""
        )
    ),
    ""
)</f>
        <v/>
      </c>
      <c r="R19" s="42" t="str">
        <f>IFERROR(ROUND((L19-SUM(P19:Q19))/H19,2),"")</f>
        <v/>
      </c>
      <c r="S19" s="203" t="str">
        <f t="shared" si="4"/>
        <v/>
      </c>
      <c r="T19" s="204" cm="1">
        <f t="array" ref="T19">IF(OR(H19="",H19=0),
ROUND(_xlfn.XLOOKUP(1,(PRICING[SKU]=A19)*(PRICING[Set]=1),PRICING[Standard Use Rate (oz/M)]),2),ROUND(
_xlfn.XLOOKUP(
1,
(PRICING[SKU]=A19)*
(PRICING[Set]=IF(
_xlfn.XLOOKUP(A19,Rebate_Lookup[SKU CODE],Rebate_Lookup[MOQ_2])=0,
1,
IF(
AND(
_xlfn.XLOOKUP(A19,Rebate_Lookup[SKU CODE],Rebate_Lookup[MOQ_3])=0,
H19&gt;=_xlfn.XLOOKUP(A19,Rebate_Lookup[SKU CODE],Rebate_Lookup[MOQ_2])
),
2,
IF(
AND(
H19&gt;=_xlfn.XLOOKUP(A19,Rebate_Lookup[SKU CODE],Rebate_Lookup[MOQ_1]),
H19&lt;_xlfn.XLOOKUP(A19,Rebate_Lookup[SKU CODE],Rebate_Lookup[MOQ_2])
),
1,
IF(
AND(
H19&gt;=_xlfn.XLOOKUP(A19,Rebate_Lookup[SKU CODE],Rebate_Lookup[MOQ_2]),
OR(
_xlfn.XLOOKUP(A19,Rebate_Lookup[SKU CODE],Rebate_Lookup[MOQ_3])=0,
H19&lt;_xlfn.XLOOKUP(A19,Rebate_Lookup[SKU CODE],Rebate_Lookup[MOQ_3])
)
),
2,
IF(
OR(
AND(
_xlfn.XLOOKUP(A19,Rebate_Lookup[SKU CODE],Rebate_Lookup[MOQ_4])=0,
H19&gt;=_xlfn.XLOOKUP(A19,Rebate_Lookup[SKU CODE],Rebate_Lookup[MOQ_3])
),
AND(
_xlfn.XLOOKUP(A19,Rebate_Lookup[SKU CODE],Rebate_Lookup[MOQ_4])&gt;0,
H19&gt;=_xlfn.XLOOKUP(A19,Rebate_Lookup[SKU CODE],Rebate_Lookup[MOQ_3]),
H19&lt;_xlfn.XLOOKUP(A19,Rebate_Lookup[SKU CODE],Rebate_Lookup[MOQ_4])
)
),
3,
IF(
AND(
_xlfn.XLOOKUP(A19,Rebate_Lookup[SKU CODE],Rebate_Lookup[MOQ_4])&gt;0,
H19&gt;=_xlfn.XLOOKUP(A19,Rebate_Lookup[SKU CODE],Rebate_Lookup[MOQ_4])
),
4,
1
)
)
)
)
)
)),
PRICING[Standard Use Rate (oz/M)]
),
2
))</f>
        <v>0.36</v>
      </c>
      <c r="U19" s="117">
        <f t="shared" si="5"/>
        <v>15.68</v>
      </c>
      <c r="V19" s="45" t="str">
        <f>IF(AND(TRIM(U19)&lt;&gt;"",TRIM(H19)&lt;&gt;""),ROUND(H19*INDEX(PRICING[Package Ounces],MATCH(A19,PRICING[SKU],0))/U19,2),"")</f>
        <v/>
      </c>
      <c r="W19" s="222">
        <f t="shared" si="6"/>
        <v>0</v>
      </c>
      <c r="X19" s="221">
        <f t="shared" si="7"/>
        <v>0</v>
      </c>
      <c r="AA19" s="48"/>
    </row>
    <row r="20" spans="1:27" ht="18.75" customHeight="1" x14ac:dyDescent="0.2">
      <c r="A20" s="175" t="s">
        <v>53</v>
      </c>
      <c r="B20" s="178" t="b">
        <f t="shared" si="0"/>
        <v>0</v>
      </c>
      <c r="D20" s="218" t="str" cm="1">
        <f t="array" ref="D20">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(PRICING[SKU]=$A20)*
            (
                ((PRICING[Rebate $]&lt;&gt;"")*(PRICING[Rebate $]&lt;&gt;0))
                +
                (
                    (
                        ISNUMBER(SEARCH("*Ronstar*FLO*",PRICING[Product]))+
                        ISNUMBER(SEARCH("Altus*",PRICING[Product]))+
                        ISNUMBER(SEARCH("Kontos*",PRICING[Product]))
                    )*
                    (PRICING[Min Qty]&lt;&gt;0)
                )
            )
        )
    ),
    ""
)</f>
        <v>$100.00 off on 1+ units</v>
      </c>
      <c r="E20" s="215" t="str">
        <f>_xlfn.XLOOKUP(A20, PRICING[SKU], PRICING[Product], "")</f>
        <v>Castlon®</v>
      </c>
      <c r="F20" s="46" t="str">
        <f>_xlfn.XLOOKUP(A20, PRICING[SKU], PRICING[Size], "")</f>
        <v>1 gal</v>
      </c>
      <c r="G20" s="40" t="str">
        <f>IF(_xlfn.XLOOKUP(A20,PRICING[SKU],PRICING[Indication])="I","Insecticide",
 IF(_xlfn.XLOOKUP(A20,PRICING[SKU],PRICING[Indication])="H","Herbicide",
 IF(_xlfn.XLOOKUP(A20,PRICING[SKU],PRICING[Indication])="F","Fungicide",
 IF(_xlfn.XLOOKUP(A20,PRICING[SKU],PRICING[Indication])="PGR","PGR",""))))</f>
        <v>Fungicide</v>
      </c>
      <c r="H20" s="47"/>
      <c r="I20" s="41">
        <f>INDEX(PRICING[2026 In-Season Price],MATCH(A20,PRICING[SKU],0))</f>
        <v>2298.88</v>
      </c>
      <c r="J20" s="42" t="str">
        <f t="shared" si="1"/>
        <v/>
      </c>
      <c r="K20" s="42">
        <f>INDEX(PRICING[NOW Price],MATCH(A20,PRICING[SKU],0))</f>
        <v>2298.88</v>
      </c>
      <c r="L20" s="42" t="str">
        <f t="shared" si="2"/>
        <v/>
      </c>
      <c r="M20" s="43">
        <f>INDEX(Rebate_Lookup[Instances],MATCH(A20,Rebate_Lookup[SKU CODE],0))</f>
        <v>1</v>
      </c>
      <c r="N20" s="43" t="str">
        <f>IF(H20="","",INDEX(Rebate_Lookup[Qualified Rebate Tier],MATCH(A20,Rebate_Lookup[SKU CODE],0)))</f>
        <v/>
      </c>
      <c r="O20" s="42" t="str">
        <f>IF(OR(H20="",N20=""),"",
IF(N20=1,INDEX(Rebate_Lookup[REB_MOQ_1],MATCH(A20,Rebate_Lookup[SKU CODE],0)),
IF(N20=2,INDEX(Rebate_Lookup[REB_MOQ_2],MATCH(A20,Rebate_Lookup[SKU CODE],0)),
IF(N20=3,INDEX(Rebate_Lookup[REB_MOQ_3],MATCH(A20,Rebate_Lookup[SKU CODE],0)),
IF(N20=4,INDEX(Rebate_Lookup[REB_MOQ_4],MATCH(A20,Rebate_Lookup[SKU CODE],0)),
"#err")))))</f>
        <v/>
      </c>
      <c r="P20" s="44" t="str">
        <f>IF(L68&gt;5000,IF(OR(O20=0,O20=""),"",H20*O20),"")</f>
        <v/>
      </c>
      <c r="Q20" s="44" t="str">
        <f>IF(
    H20&gt;0,
    IF(
        OR(
            AND(ISNUMBER(SEARCH("Specticle",E20)),ISNUMBER(SEARCH("FLO",E20))),
            AND(ISNUMBER(SEARCH("Ronstar",E20)),ISNUMBER(SEARCH("FLO",E20)))
        ),
        IF(
            AND(_xlfn.XLOOKUP(A20,PRICING[SKU],PRICING[October Bonus],FALSE),$R$10="YES"),
            ROUND(L20*$G$113,2),
            "N/A"
        ),
        IFERROR(
            IF(
                _xlfn.XLOOKUP(A20,PRICING[SKU],PRICING[October Bonus],FALSE),
                ROUND(L20*SUM($G$109:$G$113),2),
                ROUND(L20*SUM($G$109:$G$112),2)
            ),
            ""
        )
    ),
    ""
)</f>
        <v/>
      </c>
      <c r="R20" s="42" t="str">
        <f t="shared" si="3"/>
        <v/>
      </c>
      <c r="S20" s="203" t="str">
        <f t="shared" si="4"/>
        <v/>
      </c>
      <c r="T20" s="204" cm="1">
        <f t="array" ref="T20">IF(OR(H20="",H20=0),
ROUND(_xlfn.XLOOKUP(1,(PRICING[SKU]=A20)*(PRICING[Set]=1),PRICING[Standard Use Rate (oz/M)]),2),ROUND(
_xlfn.XLOOKUP(
1,
(PRICING[SKU]=A20)*
(PRICING[Set]=IF(
_xlfn.XLOOKUP(A20,Rebate_Lookup[SKU CODE],Rebate_Lookup[MOQ_2])=0,
1,
IF(
AND(
_xlfn.XLOOKUP(A20,Rebate_Lookup[SKU CODE],Rebate_Lookup[MOQ_3])=0,
H20&gt;=_xlfn.XLOOKUP(A20,Rebate_Lookup[SKU CODE],Rebate_Lookup[MOQ_2])
),
2,
IF(
AND(
H20&gt;=_xlfn.XLOOKUP(A20,Rebate_Lookup[SKU CODE],Rebate_Lookup[MOQ_1]),
H20&lt;_xlfn.XLOOKUP(A20,Rebate_Lookup[SKU CODE],Rebate_Lookup[MOQ_2])
),
1,
IF(
AND(
H20&gt;=_xlfn.XLOOKUP(A20,Rebate_Lookup[SKU CODE],Rebate_Lookup[MOQ_2]),
OR(
_xlfn.XLOOKUP(A20,Rebate_Lookup[SKU CODE],Rebate_Lookup[MOQ_3])=0,
H20&lt;_xlfn.XLOOKUP(A20,Rebate_Lookup[SKU CODE],Rebate_Lookup[MOQ_3])
)
),
2,
IF(
OR(
AND(
_xlfn.XLOOKUP(A20,Rebate_Lookup[SKU CODE],Rebate_Lookup[MOQ_4])=0,
H20&gt;=_xlfn.XLOOKUP(A20,Rebate_Lookup[SKU CODE],Rebate_Lookup[MOQ_3])
),
AND(
_xlfn.XLOOKUP(A20,Rebate_Lookup[SKU CODE],Rebate_Lookup[MOQ_4])&gt;0,
H20&gt;=_xlfn.XLOOKUP(A20,Rebate_Lookup[SKU CODE],Rebate_Lookup[MOQ_3]),
H20&lt;_xlfn.XLOOKUP(A20,Rebate_Lookup[SKU CODE],Rebate_Lookup[MOQ_4])
)
),
3,
IF(
AND(
_xlfn.XLOOKUP(A20,Rebate_Lookup[SKU CODE],Rebate_Lookup[MOQ_4])&gt;0,
H20&gt;=_xlfn.XLOOKUP(A20,Rebate_Lookup[SKU CODE],Rebate_Lookup[MOQ_4])
),
4,
1
)
)
)
)
)
)),
PRICING[Standard Use Rate (oz/M)]
),
2
))</f>
        <v>0.36</v>
      </c>
      <c r="U20" s="117">
        <f t="shared" si="5"/>
        <v>15.68</v>
      </c>
      <c r="V20" s="45" t="str">
        <f>IF(AND(TRIM(U20)&lt;&gt;"",TRIM(H20)&lt;&gt;""),ROUND(H20*INDEX(PRICING[Package Ounces],MATCH(A20,PRICING[SKU],0))/U20,2),"")</f>
        <v/>
      </c>
      <c r="W20" s="222">
        <f t="shared" si="6"/>
        <v>0</v>
      </c>
      <c r="X20" s="221">
        <f t="shared" si="7"/>
        <v>0</v>
      </c>
      <c r="AA20" s="48"/>
    </row>
    <row r="21" spans="1:27" ht="18.75" customHeight="1" x14ac:dyDescent="0.2">
      <c r="A21" s="175" t="s">
        <v>54</v>
      </c>
      <c r="B21" s="178" t="b">
        <f t="shared" si="0"/>
        <v>0</v>
      </c>
      <c r="D21" s="218" t="str" cm="1">
        <f t="array" ref="D21">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(PRICING[SKU]=$A21)*
            (
                ((PRICING[Rebate $]&lt;&gt;"")*(PRICING[Rebate $]&lt;&gt;0))
                +
                (
                    (
                        ISNUMBER(SEARCH("*Ronstar*FLO*",PRICING[Product]))+
                        ISNUMBER(SEARCH("Altus*",PRICING[Product]))+
                        ISNUMBER(SEARCH("Kontos*",PRICING[Product]))
                    )*
                    (PRICING[Min Qty]&lt;&gt;0)
                )
            )
        )
    ),
    ""
)</f>
        <v>$5.00 off on 16+ units</v>
      </c>
      <c r="E21" s="215" t="str">
        <f>_xlfn.XLOOKUP(A21, PRICING[SKU], PRICING[Product], "")</f>
        <v>Celsius® WG</v>
      </c>
      <c r="F21" s="46" t="str">
        <f>_xlfn.XLOOKUP(A21, PRICING[SKU], PRICING[Size], "")</f>
        <v>10 oz</v>
      </c>
      <c r="G21" s="40" t="str">
        <f>IF(_xlfn.XLOOKUP(A21,PRICING[SKU],PRICING[Indication])="I","Insecticide",
 IF(_xlfn.XLOOKUP(A21,PRICING[SKU],PRICING[Indication])="H","Herbicide",
 IF(_xlfn.XLOOKUP(A21,PRICING[SKU],PRICING[Indication])="F","Fungicide",
 IF(_xlfn.XLOOKUP(A21,PRICING[SKU],PRICING[Indication])="PGR","PGR",""))))</f>
        <v>Herbicide</v>
      </c>
      <c r="H21" s="47"/>
      <c r="I21" s="41">
        <f>INDEX(PRICING[2026 In-Season Price],MATCH(A21,PRICING[SKU],0))</f>
        <v>137.19999999999999</v>
      </c>
      <c r="J21" s="42" t="str">
        <f t="shared" si="1"/>
        <v/>
      </c>
      <c r="K21" s="42">
        <f>INDEX(PRICING[NOW Price],MATCH(A21,PRICING[SKU],0))</f>
        <v>133.19999999999999</v>
      </c>
      <c r="L21" s="42" t="str">
        <f t="shared" si="2"/>
        <v/>
      </c>
      <c r="M21" s="43">
        <f>INDEX(Rebate_Lookup[Instances],MATCH(A21,Rebate_Lookup[SKU CODE],0))</f>
        <v>2</v>
      </c>
      <c r="N21" s="43" t="str">
        <f>IF(H21="","",INDEX(Rebate_Lookup[Qualified Rebate Tier],MATCH(A21,Rebate_Lookup[SKU CODE],0)))</f>
        <v/>
      </c>
      <c r="O21" s="42" t="str">
        <f>IF(OR(H21="",N21=""),"",
IF(N21=1,INDEX(Rebate_Lookup[REB_MOQ_1],MATCH(A21,Rebate_Lookup[SKU CODE],0)),
IF(N21=2,INDEX(Rebate_Lookup[REB_MOQ_2],MATCH(A21,Rebate_Lookup[SKU CODE],0)),
IF(N21=3,INDEX(Rebate_Lookup[REB_MOQ_3],MATCH(A21,Rebate_Lookup[SKU CODE],0)),
IF(N21=4,INDEX(Rebate_Lookup[REB_MOQ_4],MATCH(A21,Rebate_Lookup[SKU CODE],0)),
"#err")))))</f>
        <v/>
      </c>
      <c r="P21" s="44" t="str">
        <f>IF(L68&gt;5000,IF(OR(O21=0,O21=""),"",H21*O21),"")</f>
        <v/>
      </c>
      <c r="Q21" s="44" t="str">
        <f>IF(
    H21&gt;0,
    IF(
        OR(
            AND(ISNUMBER(SEARCH("Specticle",E21)),ISNUMBER(SEARCH("FLO",E21))),
            AND(ISNUMBER(SEARCH("Ronstar",E21)),ISNUMBER(SEARCH("FLO",E21)))
        ),
        IF(
            AND(_xlfn.XLOOKUP(A21,PRICING[SKU],PRICING[October Bonus],FALSE),$R$10="YES"),
            ROUND(L21*$G$113,2),
            "N/A"
        ),
        IFERROR(
            IF(
                _xlfn.XLOOKUP(A21,PRICING[SKU],PRICING[October Bonus],FALSE),
                ROUND(L21*SUM($G$109:$G$113),2),
                ROUND(L21*SUM($G$109:$G$112),2)
            ),
            ""
        )
    ),
    ""
)</f>
        <v/>
      </c>
      <c r="R21" s="42" t="str">
        <f t="shared" si="3"/>
        <v/>
      </c>
      <c r="S21" s="203" t="str">
        <f t="shared" si="4"/>
        <v/>
      </c>
      <c r="T21" s="204" cm="1">
        <f t="array" ref="T21">IF(OR(H21="",H21=0),
ROUND(_xlfn.XLOOKUP(1,(PRICING[SKU]=A21)*(PRICING[Set]=1),PRICING[Standard Use Rate (oz/M)]),2),ROUND(
_xlfn.XLOOKUP(
1,
(PRICING[SKU]=A21)*
(PRICING[Set]=IF(
_xlfn.XLOOKUP(A21,Rebate_Lookup[SKU CODE],Rebate_Lookup[MOQ_2])=0,
1,
IF(
AND(
_xlfn.XLOOKUP(A21,Rebate_Lookup[SKU CODE],Rebate_Lookup[MOQ_3])=0,
H21&gt;=_xlfn.XLOOKUP(A21,Rebate_Lookup[SKU CODE],Rebate_Lookup[MOQ_2])
),
2,
IF(
AND(
H21&gt;=_xlfn.XLOOKUP(A21,Rebate_Lookup[SKU CODE],Rebate_Lookup[MOQ_1]),
H21&lt;_xlfn.XLOOKUP(A21,Rebate_Lookup[SKU CODE],Rebate_Lookup[MOQ_2])
),
1,
IF(
AND(
H21&gt;=_xlfn.XLOOKUP(A21,Rebate_Lookup[SKU CODE],Rebate_Lookup[MOQ_2]),
OR(
_xlfn.XLOOKUP(A21,Rebate_Lookup[SKU CODE],Rebate_Lookup[MOQ_3])=0,
H21&lt;_xlfn.XLOOKUP(A21,Rebate_Lookup[SKU CODE],Rebate_Lookup[MOQ_3])
)
),
2,
IF(
OR(
AND(
_xlfn.XLOOKUP(A21,Rebate_Lookup[SKU CODE],Rebate_Lookup[MOQ_4])=0,
H21&gt;=_xlfn.XLOOKUP(A21,Rebate_Lookup[SKU CODE],Rebate_Lookup[MOQ_3])
),
AND(
_xlfn.XLOOKUP(A21,Rebate_Lookup[SKU CODE],Rebate_Lookup[MOQ_4])&gt;0,
H21&gt;=_xlfn.XLOOKUP(A21,Rebate_Lookup[SKU CODE],Rebate_Lookup[MOQ_3]),
H21&lt;_xlfn.XLOOKUP(A21,Rebate_Lookup[SKU CODE],Rebate_Lookup[MOQ_4])
)
),
3,
IF(
AND(
_xlfn.XLOOKUP(A21,Rebate_Lookup[SKU CODE],Rebate_Lookup[MOQ_4])&gt;0,
H21&gt;=_xlfn.XLOOKUP(A21,Rebate_Lookup[SKU CODE],Rebate_Lookup[MOQ_4])
),
4,
1
)
)
)
)
)
)),
PRICING[Standard Use Rate (oz/M)]
),
2
))</f>
        <v>0.08</v>
      </c>
      <c r="U21" s="117">
        <f t="shared" si="5"/>
        <v>3.48</v>
      </c>
      <c r="V21" s="45" t="str">
        <f>IF(AND(TRIM(U21)&lt;&gt;"",TRIM(H21)&lt;&gt;""),ROUND(H21*INDEX(PRICING[Package Ounces],MATCH(A21,PRICING[SKU],0))/U21,2),"")</f>
        <v/>
      </c>
      <c r="W21" s="222">
        <f t="shared" si="6"/>
        <v>0</v>
      </c>
      <c r="X21" s="221">
        <f t="shared" si="7"/>
        <v>0</v>
      </c>
      <c r="AA21" s="48"/>
    </row>
    <row r="22" spans="1:27" ht="18.75" customHeight="1" x14ac:dyDescent="0.2">
      <c r="A22" s="174" t="s">
        <v>55</v>
      </c>
      <c r="B22" s="178" t="b">
        <f t="shared" si="0"/>
        <v>0</v>
      </c>
      <c r="D22" s="218" t="str" cm="1">
        <f t="array" ref="D22">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(PRICING[SKU]=$A22)*
            (
                ((PRICING[Rebate $]&lt;&gt;"")*(PRICING[Rebate $]&lt;&gt;0))
                +
                (
                    (
                        ISNUMBER(SEARCH("*Ronstar*FLO*",PRICING[Product]))+
                        ISNUMBER(SEARCH("Altus*",PRICING[Product]))+
                        ISNUMBER(SEARCH("Kontos*",PRICING[Product]))
                    )*
                    (PRICING[Min Qty]&lt;&gt;0)
                )
            )
        )
    ),
    ""
)</f>
        <v>$7.00 off on 16+ units</v>
      </c>
      <c r="E22" s="215" t="str">
        <f>_xlfn.XLOOKUP(A22, PRICING[SKU], PRICING[Product], "")</f>
        <v>Celsius® XTRA</v>
      </c>
      <c r="F22" s="46" t="str">
        <f>_xlfn.XLOOKUP(A22, PRICING[SKU], PRICING[Size], "")</f>
        <v>10 oz</v>
      </c>
      <c r="G22" s="40" t="str">
        <f>IF(_xlfn.XLOOKUP(A22,PRICING[SKU],PRICING[Indication])="I","Insecticide",
 IF(_xlfn.XLOOKUP(A22,PRICING[SKU],PRICING[Indication])="H","Herbicide",
 IF(_xlfn.XLOOKUP(A22,PRICING[SKU],PRICING[Indication])="F","Fungicide",
 IF(_xlfn.XLOOKUP(A22,PRICING[SKU],PRICING[Indication])="PGR","PGR",""))))</f>
        <v>Herbicide</v>
      </c>
      <c r="H22" s="47"/>
      <c r="I22" s="41">
        <f>INDEX(PRICING[2026 In-Season Price],MATCH(A22,PRICING[SKU],0))</f>
        <v>165.3</v>
      </c>
      <c r="J22" s="42" t="str">
        <f t="shared" si="1"/>
        <v/>
      </c>
      <c r="K22" s="42">
        <f>INDEX(PRICING[NOW Price],MATCH(A22,PRICING[SKU],0))</f>
        <v>165.3</v>
      </c>
      <c r="L22" s="42" t="str">
        <f t="shared" si="2"/>
        <v/>
      </c>
      <c r="M22" s="43">
        <f>INDEX(Rebate_Lookup[Instances],MATCH(A22,Rebate_Lookup[SKU CODE],0))</f>
        <v>2</v>
      </c>
      <c r="N22" s="43" t="str">
        <f>IF(H22="","",INDEX(Rebate_Lookup[Qualified Rebate Tier],MATCH(A22,Rebate_Lookup[SKU CODE],0)))</f>
        <v/>
      </c>
      <c r="O22" s="42" t="str">
        <f>IF(OR(H22="",N22=""),"",
IF(N22=1,INDEX(Rebate_Lookup[REB_MOQ_1],MATCH(A22,Rebate_Lookup[SKU CODE],0)),
IF(N22=2,INDEX(Rebate_Lookup[REB_MOQ_2],MATCH(A22,Rebate_Lookup[SKU CODE],0)),
IF(N22=3,INDEX(Rebate_Lookup[REB_MOQ_3],MATCH(A22,Rebate_Lookup[SKU CODE],0)),
IF(N22=4,INDEX(Rebate_Lookup[REB_MOQ_4],MATCH(A22,Rebate_Lookup[SKU CODE],0)),
"#err")))))</f>
        <v/>
      </c>
      <c r="P22" s="44" t="str">
        <f>IF(L68&gt;5000,IF(OR(O22=0,O22=""),"",H22*O22),"")</f>
        <v/>
      </c>
      <c r="Q22" s="44" t="str">
        <f>IF(
    H22&gt;0,
    IF(
        OR(
            AND(ISNUMBER(SEARCH("Specticle",E22)),ISNUMBER(SEARCH("FLO",E22))),
            AND(ISNUMBER(SEARCH("Ronstar",E22)),ISNUMBER(SEARCH("FLO",E22)))
        ),
        IF(
            AND(_xlfn.XLOOKUP(A22,PRICING[SKU],PRICING[October Bonus],FALSE),$R$10="YES"),
            ROUND(L22*$G$113,2),
            "N/A"
        ),
        IFERROR(
            IF(
                _xlfn.XLOOKUP(A22,PRICING[SKU],PRICING[October Bonus],FALSE),
                ROUND(L22*SUM($G$109:$G$113),2),
                ROUND(L22*SUM($G$109:$G$112),2)
            ),
            ""
        )
    ),
    ""
)</f>
        <v/>
      </c>
      <c r="R22" s="42" t="str">
        <f t="shared" si="3"/>
        <v/>
      </c>
      <c r="S22" s="203" t="str">
        <f t="shared" si="4"/>
        <v/>
      </c>
      <c r="T22" s="204" cm="1">
        <f t="array" ref="T22">IF(OR(H22="",H22=0),
ROUND(_xlfn.XLOOKUP(1,(PRICING[SKU]=A22)*(PRICING[Set]=1),PRICING[Standard Use Rate (oz/M)]),2),ROUND(
_xlfn.XLOOKUP(
1,
(PRICING[SKU]=A22)*
(PRICING[Set]=IF(
_xlfn.XLOOKUP(A22,Rebate_Lookup[SKU CODE],Rebate_Lookup[MOQ_2])=0,
1,
IF(
AND(
_xlfn.XLOOKUP(A22,Rebate_Lookup[SKU CODE],Rebate_Lookup[MOQ_3])=0,
H22&gt;=_xlfn.XLOOKUP(A22,Rebate_Lookup[SKU CODE],Rebate_Lookup[MOQ_2])
),
2,
IF(
AND(
H22&gt;=_xlfn.XLOOKUP(A22,Rebate_Lookup[SKU CODE],Rebate_Lookup[MOQ_1]),
H22&lt;_xlfn.XLOOKUP(A22,Rebate_Lookup[SKU CODE],Rebate_Lookup[MOQ_2])
),
1,
IF(
AND(
H22&gt;=_xlfn.XLOOKUP(A22,Rebate_Lookup[SKU CODE],Rebate_Lookup[MOQ_2]),
OR(
_xlfn.XLOOKUP(A22,Rebate_Lookup[SKU CODE],Rebate_Lookup[MOQ_3])=0,
H22&lt;_xlfn.XLOOKUP(A22,Rebate_Lookup[SKU CODE],Rebate_Lookup[MOQ_3])
)
),
2,
IF(
OR(
AND(
_xlfn.XLOOKUP(A22,Rebate_Lookup[SKU CODE],Rebate_Lookup[MOQ_4])=0,
H22&gt;=_xlfn.XLOOKUP(A22,Rebate_Lookup[SKU CODE],Rebate_Lookup[MOQ_3])
),
AND(
_xlfn.XLOOKUP(A22,Rebate_Lookup[SKU CODE],Rebate_Lookup[MOQ_4])&gt;0,
H22&gt;=_xlfn.XLOOKUP(A22,Rebate_Lookup[SKU CODE],Rebate_Lookup[MOQ_3]),
H22&lt;_xlfn.XLOOKUP(A22,Rebate_Lookup[SKU CODE],Rebate_Lookup[MOQ_4])
)
),
3,
IF(
AND(
_xlfn.XLOOKUP(A22,Rebate_Lookup[SKU CODE],Rebate_Lookup[MOQ_4])&gt;0,
H22&gt;=_xlfn.XLOOKUP(A22,Rebate_Lookup[SKU CODE],Rebate_Lookup[MOQ_4])
),
4,
1
)
)
)
)
)
)),
PRICING[Standard Use Rate (oz/M)]
),
2
))</f>
        <v>0.17</v>
      </c>
      <c r="U22" s="117">
        <f t="shared" si="5"/>
        <v>7.41</v>
      </c>
      <c r="V22" s="45" t="str">
        <f>IF(AND(TRIM(U22)&lt;&gt;"",TRIM(H22)&lt;&gt;""),ROUND(H22*INDEX(PRICING[Package Ounces],MATCH(A22,PRICING[SKU],0))/U22,2),"")</f>
        <v/>
      </c>
      <c r="W22" s="222">
        <f t="shared" si="6"/>
        <v>0</v>
      </c>
      <c r="X22" s="221">
        <f t="shared" si="7"/>
        <v>0</v>
      </c>
      <c r="AA22" s="48"/>
    </row>
    <row r="23" spans="1:27" ht="18.75" customHeight="1" x14ac:dyDescent="0.2">
      <c r="A23" s="175" t="s">
        <v>56</v>
      </c>
      <c r="B23" s="178" t="b">
        <f t="shared" si="0"/>
        <v>0</v>
      </c>
      <c r="D23" s="218" t="str" cm="1">
        <f t="array" ref="D23">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(PRICING[SKU]=$A23)*
            (
                ((PRICING[Rebate $]&lt;&gt;"")*(PRICING[Rebate $]&lt;&gt;0))
                +
                (
                    (
                        ISNUMBER(SEARCH("*Ronstar*FLO*",PRICING[Product]))+
                        ISNUMBER(SEARCH("Altus*",PRICING[Product]))+
                        ISNUMBER(SEARCH("Kontos*",PRICING[Product]))
                    )*
                    (PRICING[Min Qty]&lt;&gt;0)
                )
            )
        )
    ),
    ""
)</f>
        <v>$8.00 off on 1-11 units; $24.00 off on 12+ units</v>
      </c>
      <c r="E23" s="215" t="str">
        <f>_xlfn.XLOOKUP(A23, PRICING[SKU], PRICING[Product], "")</f>
        <v>Chipco® Signature™</v>
      </c>
      <c r="F23" s="46" t="str">
        <f>_xlfn.XLOOKUP(A23, PRICING[SKU], PRICING[Size], "")</f>
        <v>11 lb</v>
      </c>
      <c r="G23" s="40" t="str">
        <f>IF(_xlfn.XLOOKUP(A23,PRICING[SKU],PRICING[Indication])="I","Insecticide",
 IF(_xlfn.XLOOKUP(A23,PRICING[SKU],PRICING[Indication])="H","Herbicide",
 IF(_xlfn.XLOOKUP(A23,PRICING[SKU],PRICING[Indication])="F","Fungicide",
 IF(_xlfn.XLOOKUP(A23,PRICING[SKU],PRICING[Indication])="PGR","PGR",""))))</f>
        <v>Fungicide</v>
      </c>
      <c r="H23" s="47"/>
      <c r="I23" s="41">
        <f>INDEX(PRICING[2026 In-Season Price],MATCH(A23,PRICING[SKU],0))</f>
        <v>431.64</v>
      </c>
      <c r="J23" s="42" t="str">
        <f t="shared" si="1"/>
        <v/>
      </c>
      <c r="K23" s="42">
        <f>INDEX(PRICING[NOW Price],MATCH(A23,PRICING[SKU],0))</f>
        <v>431.64</v>
      </c>
      <c r="L23" s="42" t="str">
        <f t="shared" si="2"/>
        <v/>
      </c>
      <c r="M23" s="43">
        <f>INDEX(Rebate_Lookup[Instances],MATCH(A23,Rebate_Lookup[SKU CODE],0))</f>
        <v>2</v>
      </c>
      <c r="N23" s="43" t="str">
        <f>IF(H23="","",INDEX(Rebate_Lookup[Qualified Rebate Tier],MATCH(A23,Rebate_Lookup[SKU CODE],0)))</f>
        <v/>
      </c>
      <c r="O23" s="42" t="str">
        <f>IF(OR(H23="",N23=""),"",
IF(N23=1,INDEX(Rebate_Lookup[REB_MOQ_1],MATCH(A23,Rebate_Lookup[SKU CODE],0)),
IF(N23=2,INDEX(Rebate_Lookup[REB_MOQ_2],MATCH(A23,Rebate_Lookup[SKU CODE],0)),
IF(N23=3,INDEX(Rebate_Lookup[REB_MOQ_3],MATCH(A23,Rebate_Lookup[SKU CODE],0)),
IF(N23=4,INDEX(Rebate_Lookup[REB_MOQ_4],MATCH(A23,Rebate_Lookup[SKU CODE],0)),
"#err")))))</f>
        <v/>
      </c>
      <c r="P23" s="44" t="str">
        <f>IF(L68&gt;5000,IF(OR(O23=0,O23=""),"",H23*O23),"")</f>
        <v/>
      </c>
      <c r="Q23" s="44" t="str">
        <f>IF(
    H23&gt;0,
    IF(
        OR(
            AND(ISNUMBER(SEARCH("Specticle",E23)),ISNUMBER(SEARCH("FLO",E23))),
            AND(ISNUMBER(SEARCH("Ronstar",E23)),ISNUMBER(SEARCH("FLO",E23)))
        ),
        IF(
            AND(_xlfn.XLOOKUP(A23,PRICING[SKU],PRICING[October Bonus],FALSE),$R$10="YES"),
            ROUND(L23*$G$113,2),
            "N/A"
        ),
        IFERROR(
            IF(
                _xlfn.XLOOKUP(A23,PRICING[SKU],PRICING[October Bonus],FALSE),
                ROUND(L23*SUM($G$109:$G$113),2),
                ROUND(L23*SUM($G$109:$G$112),2)
            ),
            ""
        )
    ),
    ""
)</f>
        <v/>
      </c>
      <c r="R23" s="42" t="str">
        <f t="shared" si="3"/>
        <v/>
      </c>
      <c r="S23" s="203" t="str">
        <f t="shared" si="4"/>
        <v/>
      </c>
      <c r="T23" s="204" cm="1">
        <f t="array" ref="T23">IF(OR(H23="",H23=0),
ROUND(_xlfn.XLOOKUP(1,(PRICING[SKU]=A23)*(PRICING[Set]=1),PRICING[Standard Use Rate (oz/M)]),2),ROUND(
_xlfn.XLOOKUP(
1,
(PRICING[SKU]=A23)*
(PRICING[Set]=IF(
_xlfn.XLOOKUP(A23,Rebate_Lookup[SKU CODE],Rebate_Lookup[MOQ_2])=0,
1,
IF(
AND(
_xlfn.XLOOKUP(A23,Rebate_Lookup[SKU CODE],Rebate_Lookup[MOQ_3])=0,
H23&gt;=_xlfn.XLOOKUP(A23,Rebate_Lookup[SKU CODE],Rebate_Lookup[MOQ_2])
),
2,
IF(
AND(
H23&gt;=_xlfn.XLOOKUP(A23,Rebate_Lookup[SKU CODE],Rebate_Lookup[MOQ_1]),
H23&lt;_xlfn.XLOOKUP(A23,Rebate_Lookup[SKU CODE],Rebate_Lookup[MOQ_2])
),
1,
IF(
AND(
H23&gt;=_xlfn.XLOOKUP(A23,Rebate_Lookup[SKU CODE],Rebate_Lookup[MOQ_2]),
OR(
_xlfn.XLOOKUP(A23,Rebate_Lookup[SKU CODE],Rebate_Lookup[MOQ_3])=0,
H23&lt;_xlfn.XLOOKUP(A23,Rebate_Lookup[SKU CODE],Rebate_Lookup[MOQ_3])
)
),
2,
IF(
OR(
AND(
_xlfn.XLOOKUP(A23,Rebate_Lookup[SKU CODE],Rebate_Lookup[MOQ_4])=0,
H23&gt;=_xlfn.XLOOKUP(A23,Rebate_Lookup[SKU CODE],Rebate_Lookup[MOQ_3])
),
AND(
_xlfn.XLOOKUP(A23,Rebate_Lookup[SKU CODE],Rebate_Lookup[MOQ_4])&gt;0,
H23&gt;=_xlfn.XLOOKUP(A23,Rebate_Lookup[SKU CODE],Rebate_Lookup[MOQ_3]),
H23&lt;_xlfn.XLOOKUP(A23,Rebate_Lookup[SKU CODE],Rebate_Lookup[MOQ_4])
)
),
3,
IF(
AND(
_xlfn.XLOOKUP(A23,Rebate_Lookup[SKU CODE],Rebate_Lookup[MOQ_4])&gt;0,
H23&gt;=_xlfn.XLOOKUP(A23,Rebate_Lookup[SKU CODE],Rebate_Lookup[MOQ_4])
),
4,
1
)
)
)
)
)
)),
PRICING[Standard Use Rate (oz/M)]
),
2
))</f>
        <v>4</v>
      </c>
      <c r="U23" s="117">
        <f t="shared" si="5"/>
        <v>174.24</v>
      </c>
      <c r="V23" s="45" t="str">
        <f>IF(AND(TRIM(U23)&lt;&gt;"",TRIM(H23)&lt;&gt;""),ROUND(H23*INDEX(PRICING[Package Ounces],MATCH(A23,PRICING[SKU],0))/U23,2),"")</f>
        <v/>
      </c>
      <c r="W23" s="222">
        <f t="shared" si="6"/>
        <v>0</v>
      </c>
      <c r="X23" s="221">
        <f t="shared" si="7"/>
        <v>0</v>
      </c>
      <c r="AA23" s="48"/>
    </row>
    <row r="24" spans="1:27" ht="18.75" customHeight="1" x14ac:dyDescent="0.2">
      <c r="A24" s="174" t="s">
        <v>57</v>
      </c>
      <c r="B24" s="178" t="b">
        <f t="shared" si="0"/>
        <v>0</v>
      </c>
      <c r="D24" s="218" t="str" cm="1">
        <f t="array" ref="D24">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(PRICING[SKU]=$A24)*
            (
                ((PRICING[Rebate $]&lt;&gt;"")*(PRICING[Rebate $]&lt;&gt;0))
                +
                (
                    (
                        ISNUMBER(SEARCH("*Ronstar*FLO*",PRICING[Product]))+
                        ISNUMBER(SEARCH("Altus*",PRICING[Product]))+
                        ISNUMBER(SEARCH("Kontos*",PRICING[Product]))
                    )*
                    (PRICING[Min Qty]&lt;&gt;0)
                )
            )
        )
    ),
    ""
)</f>
        <v>$100.00 off on 1-2 units; $150.00 off on 3+ units</v>
      </c>
      <c r="E24" s="215" t="str">
        <f>_xlfn.XLOOKUP(A24, PRICING[SKU], PRICING[Product], "")</f>
        <v>Densicor®</v>
      </c>
      <c r="F24" s="46" t="str">
        <f>_xlfn.XLOOKUP(A24, PRICING[SKU], PRICING[Size], "")</f>
        <v>51 oz</v>
      </c>
      <c r="G24" s="40" t="str">
        <f>IF(_xlfn.XLOOKUP(A24,PRICING[SKU],PRICING[Indication])="I","Insecticide",
 IF(_xlfn.XLOOKUP(A24,PRICING[SKU],PRICING[Indication])="H","Herbicide",
 IF(_xlfn.XLOOKUP(A24,PRICING[SKU],PRICING[Indication])="F","Fungicide",
 IF(_xlfn.XLOOKUP(A24,PRICING[SKU],PRICING[Indication])="PGR","PGR",""))))</f>
        <v>Fungicide</v>
      </c>
      <c r="H24" s="47"/>
      <c r="I24" s="41">
        <f>INDEX(PRICING[2026 In-Season Price],MATCH(A24,PRICING[SKU],0))</f>
        <v>712.98</v>
      </c>
      <c r="J24" s="42" t="str">
        <f t="shared" si="1"/>
        <v/>
      </c>
      <c r="K24" s="42">
        <f>INDEX(PRICING[NOW Price],MATCH(A24,PRICING[SKU],0))</f>
        <v>712.98</v>
      </c>
      <c r="L24" s="42" t="str">
        <f t="shared" si="2"/>
        <v/>
      </c>
      <c r="M24" s="43">
        <f>INDEX(Rebate_Lookup[Instances],MATCH(A24,Rebate_Lookup[SKU CODE],0))</f>
        <v>2</v>
      </c>
      <c r="N24" s="43" t="str">
        <f>IF(H24="","",INDEX(Rebate_Lookup[Qualified Rebate Tier],MATCH(A24,Rebate_Lookup[SKU CODE],0)))</f>
        <v/>
      </c>
      <c r="O24" s="42" t="str">
        <f>IF(OR(H24="",N24=""),"",
IF(N24=1,INDEX(Rebate_Lookup[REB_MOQ_1],MATCH(A24,Rebate_Lookup[SKU CODE],0)),
IF(N24=2,INDEX(Rebate_Lookup[REB_MOQ_2],MATCH(A24,Rebate_Lookup[SKU CODE],0)),
IF(N24=3,INDEX(Rebate_Lookup[REB_MOQ_3],MATCH(A24,Rebate_Lookup[SKU CODE],0)),
IF(N24=4,INDEX(Rebate_Lookup[REB_MOQ_4],MATCH(A24,Rebate_Lookup[SKU CODE],0)),
"#err")))))</f>
        <v/>
      </c>
      <c r="P24" s="44" t="str">
        <f>IF(L68&gt;5000,IF(OR(O24=0,O24=""),"",H24*O24),"")</f>
        <v/>
      </c>
      <c r="Q24" s="44" t="str">
        <f>IF(
    H24&gt;0,
    IF(
        OR(
            AND(ISNUMBER(SEARCH("Specticle",E24)),ISNUMBER(SEARCH("FLO",E24))),
            AND(ISNUMBER(SEARCH("Ronstar",E24)),ISNUMBER(SEARCH("FLO",E24)))
        ),
        IF(
            AND(_xlfn.XLOOKUP(A24,PRICING[SKU],PRICING[October Bonus],FALSE),$R$10="YES"),
            ROUND(L24*$G$113,2),
            "N/A"
        ),
        IFERROR(
            IF(
                _xlfn.XLOOKUP(A24,PRICING[SKU],PRICING[October Bonus],FALSE),
                ROUND(L24*SUM($G$109:$G$113),2),
                ROUND(L24*SUM($G$109:$G$112),2)
            ),
            ""
        )
    ),
    ""
)</f>
        <v/>
      </c>
      <c r="R24" s="42" t="str">
        <f t="shared" si="3"/>
        <v/>
      </c>
      <c r="S24" s="203" t="str">
        <f t="shared" si="4"/>
        <v/>
      </c>
      <c r="T24" s="204" cm="1">
        <f t="array" ref="T24">IF(OR(H24="",H24=0),
ROUND(_xlfn.XLOOKUP(1,(PRICING[SKU]=A24)*(PRICING[Set]=1),PRICING[Standard Use Rate (oz/M)]),2),ROUND(
_xlfn.XLOOKUP(
1,
(PRICING[SKU]=A24)*
(PRICING[Set]=IF(
_xlfn.XLOOKUP(A24,Rebate_Lookup[SKU CODE],Rebate_Lookup[MOQ_2])=0,
1,
IF(
AND(
_xlfn.XLOOKUP(A24,Rebate_Lookup[SKU CODE],Rebate_Lookup[MOQ_3])=0,
H24&gt;=_xlfn.XLOOKUP(A24,Rebate_Lookup[SKU CODE],Rebate_Lookup[MOQ_2])
),
2,
IF(
AND(
H24&gt;=_xlfn.XLOOKUP(A24,Rebate_Lookup[SKU CODE],Rebate_Lookup[MOQ_1]),
H24&lt;_xlfn.XLOOKUP(A24,Rebate_Lookup[SKU CODE],Rebate_Lookup[MOQ_2])
),
1,
IF(
AND(
H24&gt;=_xlfn.XLOOKUP(A24,Rebate_Lookup[SKU CODE],Rebate_Lookup[MOQ_2]),
OR(
_xlfn.XLOOKUP(A24,Rebate_Lookup[SKU CODE],Rebate_Lookup[MOQ_3])=0,
H24&lt;_xlfn.XLOOKUP(A24,Rebate_Lookup[SKU CODE],Rebate_Lookup[MOQ_3])
)
),
2,
IF(
OR(
AND(
_xlfn.XLOOKUP(A24,Rebate_Lookup[SKU CODE],Rebate_Lookup[MOQ_4])=0,
H24&gt;=_xlfn.XLOOKUP(A24,Rebate_Lookup[SKU CODE],Rebate_Lookup[MOQ_3])
),
AND(
_xlfn.XLOOKUP(A24,Rebate_Lookup[SKU CODE],Rebate_Lookup[MOQ_4])&gt;0,
H24&gt;=_xlfn.XLOOKUP(A24,Rebate_Lookup[SKU CODE],Rebate_Lookup[MOQ_3]),
H24&lt;_xlfn.XLOOKUP(A24,Rebate_Lookup[SKU CODE],Rebate_Lookup[MOQ_4])
)
),
3,
IF(
AND(
_xlfn.XLOOKUP(A24,Rebate_Lookup[SKU CODE],Rebate_Lookup[MOQ_4])&gt;0,
H24&gt;=_xlfn.XLOOKUP(A24,Rebate_Lookup[SKU CODE],Rebate_Lookup[MOQ_4])
),
4,
1
)
)
)
)
)
)),
PRICING[Standard Use Rate (oz/M)]
),
2
))</f>
        <v>0.2</v>
      </c>
      <c r="U24" s="117">
        <f t="shared" si="5"/>
        <v>8.7100000000000009</v>
      </c>
      <c r="V24" s="45" t="str">
        <f>IF(AND(TRIM(U24)&lt;&gt;"",TRIM(H24)&lt;&gt;""),ROUND(H24*INDEX(PRICING[Package Ounces],MATCH(A24,PRICING[SKU],0))/U24,2),"")</f>
        <v/>
      </c>
      <c r="W24" s="222">
        <f t="shared" si="6"/>
        <v>0</v>
      </c>
      <c r="X24" s="221">
        <f t="shared" si="7"/>
        <v>0</v>
      </c>
      <c r="AA24" s="48"/>
    </row>
    <row r="25" spans="1:27" ht="18.75" customHeight="1" x14ac:dyDescent="0.2">
      <c r="A25" s="175">
        <v>11008409</v>
      </c>
      <c r="B25" s="178" t="b">
        <f t="shared" si="0"/>
        <v>0</v>
      </c>
      <c r="D25" s="218" t="str" cm="1">
        <f t="array" ref="D25">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(PRICING[SKU]=$A25)*
            (
                ((PRICING[Rebate $]&lt;&gt;"")*(PRICING[Rebate $]&lt;&gt;0))
                +
                (
                    (
                        ISNUMBER(SEARCH("*Ronstar*FLO*",PRICING[Product]))+
                        ISNUMBER(SEARCH("Altus*",PRICING[Product]))+
                        ISNUMBER(SEARCH("Kontos*",PRICING[Product]))
                    )*
                    (PRICING[Min Qty]&lt;&gt;0)
                )
            )
        )
    ),
    ""
)</f>
        <v>$5.00 off on 1 unit</v>
      </c>
      <c r="E25" s="215" t="str">
        <f>_xlfn.XLOOKUP(A25, PRICING[SKU], PRICING[Product], "")</f>
        <v>Dismiss® NXT Herbicide</v>
      </c>
      <c r="F25" s="46" t="str">
        <f>_xlfn.XLOOKUP(A25, PRICING[SKU], PRICING[Size], "")</f>
        <v>10 oz</v>
      </c>
      <c r="G25" s="40" t="str">
        <f>IF(_xlfn.XLOOKUP(A25,PRICING[SKU],PRICING[Indication])="I","Insecticide",
 IF(_xlfn.XLOOKUP(A25,PRICING[SKU],PRICING[Indication])="H","Herbicide",
 IF(_xlfn.XLOOKUP(A25,PRICING[SKU],PRICING[Indication])="F","Fungicide",
 IF(_xlfn.XLOOKUP(A25,PRICING[SKU],PRICING[Indication])="PGR","PGR",""))))</f>
        <v>Herbicide</v>
      </c>
      <c r="H25" s="47"/>
      <c r="I25" s="41">
        <f>INDEX(PRICING[2026 In-Season Price],MATCH(A25,PRICING[SKU],0))</f>
        <v>99.1</v>
      </c>
      <c r="J25" s="42" t="str">
        <f t="shared" si="1"/>
        <v/>
      </c>
      <c r="K25" s="42">
        <f>INDEX(PRICING[NOW Price],MATCH(A25,PRICING[SKU],0))</f>
        <v>94.3</v>
      </c>
      <c r="L25" s="42" t="str">
        <f t="shared" si="2"/>
        <v/>
      </c>
      <c r="M25" s="43">
        <f>INDEX(Rebate_Lookup[Instances],MATCH(A25,Rebate_Lookup[SKU CODE],0))</f>
        <v>1</v>
      </c>
      <c r="N25" s="43" t="str">
        <f>IF(H25="","",INDEX(Rebate_Lookup[Qualified Rebate Tier],MATCH(A25,Rebate_Lookup[SKU CODE],0)))</f>
        <v/>
      </c>
      <c r="O25" s="42" t="str">
        <f>IF(OR(H25="",N25=""),"",
IF(N25=1,INDEX(Rebate_Lookup[REB_MOQ_1],MATCH(A25,Rebate_Lookup[SKU CODE],0)),
IF(N25=2,INDEX(Rebate_Lookup[REB_MOQ_2],MATCH(A25,Rebate_Lookup[SKU CODE],0)),
IF(N25=3,INDEX(Rebate_Lookup[REB_MOQ_3],MATCH(A25,Rebate_Lookup[SKU CODE],0)),
IF(N25=4,INDEX(Rebate_Lookup[REB_MOQ_4],MATCH(A25,Rebate_Lookup[SKU CODE],0)),
"#err")))))</f>
        <v/>
      </c>
      <c r="P25" s="44" t="str">
        <f>IF(L68&gt;5000,IF(OR(O25=0,O25=""),"",H25*O25),"")</f>
        <v/>
      </c>
      <c r="Q25" s="44" t="str">
        <f>IF(
    H25&gt;0,
    IF(
        OR(
            AND(ISNUMBER(SEARCH("Specticle",E25)),ISNUMBER(SEARCH("FLO",E25))),
            AND(ISNUMBER(SEARCH("Ronstar",E25)),ISNUMBER(SEARCH("FLO",E25)))
        ),
        IF(
            AND(_xlfn.XLOOKUP(A25,PRICING[SKU],PRICING[October Bonus],FALSE),$R$10="YES"),
            ROUND(L25*$G$113,2),
            "N/A"
        ),
        IFERROR(
            IF(
                _xlfn.XLOOKUP(A25,PRICING[SKU],PRICING[October Bonus],FALSE),
                ROUND(L25*SUM($G$109:$G$113),2),
                ROUND(L25*SUM($G$109:$G$112),2)
            ),
            ""
        )
    ),
    ""
)</f>
        <v/>
      </c>
      <c r="R25" s="42" t="str">
        <f t="shared" si="3"/>
        <v/>
      </c>
      <c r="S25" s="203" t="str">
        <f t="shared" si="4"/>
        <v/>
      </c>
      <c r="T25" s="204" cm="1">
        <f t="array" ref="T25">IF(OR(H25="",H25=0),
ROUND(_xlfn.XLOOKUP(1,(PRICING[SKU]=A25)*(PRICING[Set]=1),PRICING[Standard Use Rate (oz/M)]),2),ROUND(
_xlfn.XLOOKUP(
1,
(PRICING[SKU]=A25)*
(PRICING[Set]=IF(
_xlfn.XLOOKUP(A25,Rebate_Lookup[SKU CODE],Rebate_Lookup[MOQ_2])=0,
1,
IF(
AND(
_xlfn.XLOOKUP(A25,Rebate_Lookup[SKU CODE],Rebate_Lookup[MOQ_3])=0,
H25&gt;=_xlfn.XLOOKUP(A25,Rebate_Lookup[SKU CODE],Rebate_Lookup[MOQ_2])
),
2,
IF(
AND(
H25&gt;=_xlfn.XLOOKUP(A25,Rebate_Lookup[SKU CODE],Rebate_Lookup[MOQ_1]),
H25&lt;_xlfn.XLOOKUP(A25,Rebate_Lookup[SKU CODE],Rebate_Lookup[MOQ_2])
),
1,
IF(
AND(
H25&gt;=_xlfn.XLOOKUP(A25,Rebate_Lookup[SKU CODE],Rebate_Lookup[MOQ_2]),
OR(
_xlfn.XLOOKUP(A25,Rebate_Lookup[SKU CODE],Rebate_Lookup[MOQ_3])=0,
H25&lt;_xlfn.XLOOKUP(A25,Rebate_Lookup[SKU CODE],Rebate_Lookup[MOQ_3])
)
),
2,
IF(
OR(
AND(
_xlfn.XLOOKUP(A25,Rebate_Lookup[SKU CODE],Rebate_Lookup[MOQ_4])=0,
H25&gt;=_xlfn.XLOOKUP(A25,Rebate_Lookup[SKU CODE],Rebate_Lookup[MOQ_3])
),
AND(
_xlfn.XLOOKUP(A25,Rebate_Lookup[SKU CODE],Rebate_Lookup[MOQ_4])&gt;0,
H25&gt;=_xlfn.XLOOKUP(A25,Rebate_Lookup[SKU CODE],Rebate_Lookup[MOQ_3]),
H25&lt;_xlfn.XLOOKUP(A25,Rebate_Lookup[SKU CODE],Rebate_Lookup[MOQ_4])
)
),
3,
IF(
AND(
_xlfn.XLOOKUP(A25,Rebate_Lookup[SKU CODE],Rebate_Lookup[MOQ_4])&gt;0,
H25&gt;=_xlfn.XLOOKUP(A25,Rebate_Lookup[SKU CODE],Rebate_Lookup[MOQ_4])
),
4,
1
)
)
)
)
)
)),
PRICING[Standard Use Rate (oz/M)]
),
2
))</f>
        <v>0.23</v>
      </c>
      <c r="U25" s="117">
        <f t="shared" si="5"/>
        <v>10.02</v>
      </c>
      <c r="V25" s="45" t="str">
        <f>IF(AND(TRIM(U25)&lt;&gt;"",TRIM(H25)&lt;&gt;""),ROUND(H25*INDEX(PRICING[Package Ounces],MATCH(A25,PRICING[SKU],0))/U25,2),"")</f>
        <v/>
      </c>
      <c r="W25" s="222">
        <f t="shared" si="6"/>
        <v>0</v>
      </c>
      <c r="X25" s="221">
        <f t="shared" si="7"/>
        <v>0</v>
      </c>
      <c r="AA25" s="48"/>
    </row>
    <row r="26" spans="1:27" ht="18.75" customHeight="1" x14ac:dyDescent="0.2">
      <c r="A26" s="175">
        <v>11008589</v>
      </c>
      <c r="B26" s="178" t="b">
        <f t="shared" si="0"/>
        <v>0</v>
      </c>
      <c r="D26" s="218" t="str" cm="1">
        <f t="array" ref="D26">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(PRICING[SKU]=$A26)*
            (
                ((PRICING[Rebate $]&lt;&gt;"")*(PRICING[Rebate $]&lt;&gt;0))
                +
                (
                    (
                        ISNUMBER(SEARCH("*Ronstar*FLO*",PRICING[Product]))+
                        ISNUMBER(SEARCH("Altus*",PRICING[Product]))+
                        ISNUMBER(SEARCH("Kontos*",PRICING[Product]))
                    )*
                    (PRICING[Min Qty]&lt;&gt;0)
                )
            )
        )
    ),
    ""
)</f>
        <v>$24.00 off on 1-3 units; $58.00 off on 4+ units</v>
      </c>
      <c r="E26" s="215" t="str">
        <f>_xlfn.XLOOKUP(A26, PRICING[SKU], PRICING[Product], "")</f>
        <v>Dismiss® NXT Herbicide</v>
      </c>
      <c r="F26" s="46" t="str">
        <f>_xlfn.XLOOKUP(A26, PRICING[SKU], PRICING[Size], "")</f>
        <v>60 oz</v>
      </c>
      <c r="G26" s="40" t="str">
        <f>IF(_xlfn.XLOOKUP(A26,PRICING[SKU],PRICING[Indication])="I","Insecticide",
 IF(_xlfn.XLOOKUP(A26,PRICING[SKU],PRICING[Indication])="H","Herbicide",
 IF(_xlfn.XLOOKUP(A26,PRICING[SKU],PRICING[Indication])="F","Fungicide",
 IF(_xlfn.XLOOKUP(A26,PRICING[SKU],PRICING[Indication])="PGR","PGR",""))))</f>
        <v>Herbicide</v>
      </c>
      <c r="H26" s="47"/>
      <c r="I26" s="41">
        <f>INDEX(PRICING[2026 In-Season Price],MATCH(A26,PRICING[SKU],0))</f>
        <v>528</v>
      </c>
      <c r="J26" s="42" t="str">
        <f t="shared" si="1"/>
        <v/>
      </c>
      <c r="K26" s="42">
        <f>INDEX(PRICING[NOW Price],MATCH(A26,PRICING[SKU],0))</f>
        <v>512.4</v>
      </c>
      <c r="L26" s="42" t="str">
        <f t="shared" si="2"/>
        <v/>
      </c>
      <c r="M26" s="43">
        <f>INDEX(Rebate_Lookup[Instances],MATCH(A26,Rebate_Lookup[SKU CODE],0))</f>
        <v>2</v>
      </c>
      <c r="N26" s="43" t="str">
        <f>IF(H26="","",INDEX(Rebate_Lookup[Qualified Rebate Tier],MATCH(A26,Rebate_Lookup[SKU CODE],0)))</f>
        <v/>
      </c>
      <c r="O26" s="42" t="str">
        <f>IF(OR(H26="",N26=""),"",
IF(N26=1,INDEX(Rebate_Lookup[REB_MOQ_1],MATCH(A26,Rebate_Lookup[SKU CODE],0)),
IF(N26=2,INDEX(Rebate_Lookup[REB_MOQ_2],MATCH(A26,Rebate_Lookup[SKU CODE],0)),
IF(N26=3,INDEX(Rebate_Lookup[REB_MOQ_3],MATCH(A26,Rebate_Lookup[SKU CODE],0)),
IF(N26=4,INDEX(Rebate_Lookup[REB_MOQ_4],MATCH(A26,Rebate_Lookup[SKU CODE],0)),
"#err")))))</f>
        <v/>
      </c>
      <c r="P26" s="44" t="str">
        <f>IF(L68&gt;5000,IF(OR(O26=0,O26=""),"",H26*O26),"")</f>
        <v/>
      </c>
      <c r="Q26" s="44" t="str">
        <f>IF(
    H26&gt;0,
    IF(
        OR(
            AND(ISNUMBER(SEARCH("Specticle",E26)),ISNUMBER(SEARCH("FLO",E26))),
            AND(ISNUMBER(SEARCH("Ronstar",E26)),ISNUMBER(SEARCH("FLO",E26)))
        ),
        IF(
            AND(_xlfn.XLOOKUP(A26,PRICING[SKU],PRICING[October Bonus],FALSE),$R$10="YES"),
            ROUND(L26*$G$113,2),
            "N/A"
        ),
        IFERROR(
            IF(
                _xlfn.XLOOKUP(A26,PRICING[SKU],PRICING[October Bonus],FALSE),
                ROUND(L26*SUM($G$109:$G$113),2),
                ROUND(L26*SUM($G$109:$G$112),2)
            ),
            ""
        )
    ),
    ""
)</f>
        <v/>
      </c>
      <c r="R26" s="42" t="str">
        <f t="shared" si="3"/>
        <v/>
      </c>
      <c r="S26" s="203" t="str">
        <f t="shared" si="4"/>
        <v/>
      </c>
      <c r="T26" s="204" cm="1">
        <f t="array" ref="T26">IF(OR(H26="",H26=0),
ROUND(_xlfn.XLOOKUP(1,(PRICING[SKU]=A26)*(PRICING[Set]=1),PRICING[Standard Use Rate (oz/M)]),2),ROUND(
_xlfn.XLOOKUP(
1,
(PRICING[SKU]=A26)*
(PRICING[Set]=IF(
_xlfn.XLOOKUP(A26,Rebate_Lookup[SKU CODE],Rebate_Lookup[MOQ_2])=0,
1,
IF(
AND(
_xlfn.XLOOKUP(A26,Rebate_Lookup[SKU CODE],Rebate_Lookup[MOQ_3])=0,
H26&gt;=_xlfn.XLOOKUP(A26,Rebate_Lookup[SKU CODE],Rebate_Lookup[MOQ_2])
),
2,
IF(
AND(
H26&gt;=_xlfn.XLOOKUP(A26,Rebate_Lookup[SKU CODE],Rebate_Lookup[MOQ_1]),
H26&lt;_xlfn.XLOOKUP(A26,Rebate_Lookup[SKU CODE],Rebate_Lookup[MOQ_2])
),
1,
IF(
AND(
H26&gt;=_xlfn.XLOOKUP(A26,Rebate_Lookup[SKU CODE],Rebate_Lookup[MOQ_2]),
OR(
_xlfn.XLOOKUP(A26,Rebate_Lookup[SKU CODE],Rebate_Lookup[MOQ_3])=0,
H26&lt;_xlfn.XLOOKUP(A26,Rebate_Lookup[SKU CODE],Rebate_Lookup[MOQ_3])
)
),
2,
IF(
OR(
AND(
_xlfn.XLOOKUP(A26,Rebate_Lookup[SKU CODE],Rebate_Lookup[MOQ_4])=0,
H26&gt;=_xlfn.XLOOKUP(A26,Rebate_Lookup[SKU CODE],Rebate_Lookup[MOQ_3])
),
AND(
_xlfn.XLOOKUP(A26,Rebate_Lookup[SKU CODE],Rebate_Lookup[MOQ_4])&gt;0,
H26&gt;=_xlfn.XLOOKUP(A26,Rebate_Lookup[SKU CODE],Rebate_Lookup[MOQ_3]),
H26&lt;_xlfn.XLOOKUP(A26,Rebate_Lookup[SKU CODE],Rebate_Lookup[MOQ_4])
)
),
3,
IF(
AND(
_xlfn.XLOOKUP(A26,Rebate_Lookup[SKU CODE],Rebate_Lookup[MOQ_4])&gt;0,
H26&gt;=_xlfn.XLOOKUP(A26,Rebate_Lookup[SKU CODE],Rebate_Lookup[MOQ_4])
),
4,
1
)
)
)
)
)
)),
PRICING[Standard Use Rate (oz/M)]
),
2
))</f>
        <v>0.23</v>
      </c>
      <c r="U26" s="117">
        <f t="shared" si="5"/>
        <v>10.02</v>
      </c>
      <c r="V26" s="45" t="str">
        <f>IF(AND(TRIM(U26)&lt;&gt;"",TRIM(H26)&lt;&gt;""),ROUND(H26*INDEX(PRICING[Package Ounces],MATCH(A26,PRICING[SKU],0))/U26,2),"")</f>
        <v/>
      </c>
      <c r="W26" s="222">
        <f t="shared" si="6"/>
        <v>0</v>
      </c>
      <c r="X26" s="221">
        <f t="shared" si="7"/>
        <v>0</v>
      </c>
      <c r="AA26" s="48"/>
    </row>
    <row r="27" spans="1:27" ht="18.75" customHeight="1" x14ac:dyDescent="0.2">
      <c r="A27" s="179">
        <v>11015390</v>
      </c>
      <c r="B27" s="178" t="b">
        <f t="shared" si="0"/>
        <v>0</v>
      </c>
      <c r="D27" s="218" t="str" cm="1">
        <f t="array" ref="D27">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(PRICING[SKU]=$A27)*
            (
                ((PRICING[Rebate $]&lt;&gt;"")*(PRICING[Rebate $]&lt;&gt;0))
                +
                (
                    (
                        ISNUMBER(SEARCH("*Ronstar*FLO*",PRICING[Product]))+
                        ISNUMBER(SEARCH("Altus*",PRICING[Product]))+
                        ISNUMBER(SEARCH("Kontos*",PRICING[Product]))
                    )*
                    (PRICING[Min Qty]&lt;&gt;0)
                )
            )
        )
    ),
    ""
)</f>
        <v>$185.00 off on 4+ units</v>
      </c>
      <c r="E27" s="215" t="str">
        <f>_xlfn.XLOOKUP(A27, PRICING[SKU], PRICING[Product], "")</f>
        <v xml:space="preserve">Durentis® Insecticide  </v>
      </c>
      <c r="F27" s="46" t="str">
        <f>_xlfn.XLOOKUP(A27, PRICING[SKU], PRICING[Size], "")</f>
        <v>16 oz</v>
      </c>
      <c r="G27" s="40" t="str">
        <f>IF(_xlfn.XLOOKUP(A27,PRICING[SKU],PRICING[Indication])="I","Insecticide",
 IF(_xlfn.XLOOKUP(A27,PRICING[SKU],PRICING[Indication])="H","Herbicide",
 IF(_xlfn.XLOOKUP(A27,PRICING[SKU],PRICING[Indication])="F","Fungicide",
 IF(_xlfn.XLOOKUP(A27,PRICING[SKU],PRICING[Indication])="PGR","PGR",""))))</f>
        <v>Insecticide</v>
      </c>
      <c r="H27" s="47"/>
      <c r="I27" s="41">
        <f>INDEX(PRICING[2026 In-Season Price],MATCH(A27,PRICING[SKU],0))</f>
        <v>658.72</v>
      </c>
      <c r="J27" s="42" t="str">
        <f t="shared" si="1"/>
        <v/>
      </c>
      <c r="K27" s="42">
        <f>INDEX(PRICING[NOW Price],MATCH(A27,PRICING[SKU],0))</f>
        <v>560.64</v>
      </c>
      <c r="L27" s="42" t="str">
        <f t="shared" si="2"/>
        <v/>
      </c>
      <c r="M27" s="43">
        <f>INDEX(Rebate_Lookup[Instances],MATCH(A27,Rebate_Lookup[SKU CODE],0))</f>
        <v>2</v>
      </c>
      <c r="N27" s="43" t="str">
        <f>IF(H27="","",INDEX(Rebate_Lookup[Qualified Rebate Tier],MATCH(A27,Rebate_Lookup[SKU CODE],0)))</f>
        <v/>
      </c>
      <c r="O27" s="42" t="str">
        <f>IF(OR(H27="",N27=""),"",
IF(N27=1,INDEX(Rebate_Lookup[REB_MOQ_1],MATCH(A27,Rebate_Lookup[SKU CODE],0)),
IF(N27=2,INDEX(Rebate_Lookup[REB_MOQ_2],MATCH(A27,Rebate_Lookup[SKU CODE],0)),
IF(N27=3,INDEX(Rebate_Lookup[REB_MOQ_3],MATCH(A27,Rebate_Lookup[SKU CODE],0)),
IF(N27=4,INDEX(Rebate_Lookup[REB_MOQ_4],MATCH(A27,Rebate_Lookup[SKU CODE],0)),
"#err")))))</f>
        <v/>
      </c>
      <c r="P27" s="44" t="str">
        <f>IF(L68&gt;5000,IF(OR(O27=0,O27=""),"",H27*O27),"")</f>
        <v/>
      </c>
      <c r="Q27" s="44" t="str">
        <f>IF(
    H27&gt;0,
    IF(
        OR(
            AND(ISNUMBER(SEARCH("Specticle",E27)),ISNUMBER(SEARCH("FLO",E27))),
            AND(ISNUMBER(SEARCH("Ronstar",E27)),ISNUMBER(SEARCH("FLO",E27)))
        ),
        IF(
            AND(_xlfn.XLOOKUP(A27,PRICING[SKU],PRICING[October Bonus],FALSE),$R$10="YES"),
            ROUND(L27*$G$113,2),
            "N/A"
        ),
        IFERROR(
            IF(
                _xlfn.XLOOKUP(A27,PRICING[SKU],PRICING[October Bonus],FALSE),
                ROUND(L27*SUM($G$109:$G$113),2),
                ROUND(L27*SUM($G$109:$G$112),2)
            ),
            ""
        )
    ),
    ""
)</f>
        <v/>
      </c>
      <c r="R27" s="42" t="str">
        <f t="shared" si="3"/>
        <v/>
      </c>
      <c r="S27" s="203" t="str">
        <f t="shared" si="4"/>
        <v/>
      </c>
      <c r="T27" s="204" cm="1">
        <f t="array" ref="T27">IF(OR(H27="",H27=0),
ROUND(_xlfn.XLOOKUP(1,(PRICING[SKU]=A27)*(PRICING[Set]=1),PRICING[Standard Use Rate (oz/M)]),2),ROUND(
_xlfn.XLOOKUP(
1,
(PRICING[SKU]=A27)*
(PRICING[Set]=IF(
_xlfn.XLOOKUP(A27,Rebate_Lookup[SKU CODE],Rebate_Lookup[MOQ_2])=0,
1,
IF(
AND(
_xlfn.XLOOKUP(A27,Rebate_Lookup[SKU CODE],Rebate_Lookup[MOQ_3])=0,
H27&gt;=_xlfn.XLOOKUP(A27,Rebate_Lookup[SKU CODE],Rebate_Lookup[MOQ_2])
),
2,
IF(
AND(
H27&gt;=_xlfn.XLOOKUP(A27,Rebate_Lookup[SKU CODE],Rebate_Lookup[MOQ_1]),
H27&lt;_xlfn.XLOOKUP(A27,Rebate_Lookup[SKU CODE],Rebate_Lookup[MOQ_2])
),
1,
IF(
AND(
H27&gt;=_xlfn.XLOOKUP(A27,Rebate_Lookup[SKU CODE],Rebate_Lookup[MOQ_2]),
OR(
_xlfn.XLOOKUP(A27,Rebate_Lookup[SKU CODE],Rebate_Lookup[MOQ_3])=0,
H27&lt;_xlfn.XLOOKUP(A27,Rebate_Lookup[SKU CODE],Rebate_Lookup[MOQ_3])
)
),
2,
IF(
OR(
AND(
_xlfn.XLOOKUP(A27,Rebate_Lookup[SKU CODE],Rebate_Lookup[MOQ_4])=0,
H27&gt;=_xlfn.XLOOKUP(A27,Rebate_Lookup[SKU CODE],Rebate_Lookup[MOQ_3])
),
AND(
_xlfn.XLOOKUP(A27,Rebate_Lookup[SKU CODE],Rebate_Lookup[MOQ_4])&gt;0,
H27&gt;=_xlfn.XLOOKUP(A27,Rebate_Lookup[SKU CODE],Rebate_Lookup[MOQ_3]),
H27&lt;_xlfn.XLOOKUP(A27,Rebate_Lookup[SKU CODE],Rebate_Lookup[MOQ_4])
)
),
3,
IF(
AND(
_xlfn.XLOOKUP(A27,Rebate_Lookup[SKU CODE],Rebate_Lookup[MOQ_4])&gt;0,
H27&gt;=_xlfn.XLOOKUP(A27,Rebate_Lookup[SKU CODE],Rebate_Lookup[MOQ_4])
),
4,
1
)
)
)
)
)
)),
PRICING[Standard Use Rate (oz/M)]
),
2
))</f>
        <v>0.06</v>
      </c>
      <c r="U27" s="117">
        <f t="shared" si="5"/>
        <v>2.61</v>
      </c>
      <c r="V27" s="45" t="str">
        <f>IF(AND(TRIM(U27)&lt;&gt;"",TRIM(H27)&lt;&gt;""),ROUND(H27*INDEX(PRICING[Package Ounces],MATCH(A27,PRICING[SKU],0))/U27,2),"")</f>
        <v/>
      </c>
      <c r="W27" s="222">
        <f t="shared" si="6"/>
        <v>0</v>
      </c>
      <c r="X27" s="221">
        <f t="shared" si="7"/>
        <v>0</v>
      </c>
      <c r="AA27" s="48"/>
    </row>
    <row r="28" spans="1:27" ht="18.75" customHeight="1" x14ac:dyDescent="0.2">
      <c r="A28" s="175">
        <v>11015391</v>
      </c>
      <c r="B28" s="178" t="b">
        <f t="shared" si="0"/>
        <v>0</v>
      </c>
      <c r="D28" s="218" t="str" cm="1">
        <f t="array" ref="D28">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(PRICING[SKU]=$A28)*
            (
                ((PRICING[Rebate $]&lt;&gt;"")*(PRICING[Rebate $]&lt;&gt;0))
                +
                (
                    (
                        ISNUMBER(SEARCH("*Ronstar*FLO*",PRICING[Product]))+
                        ISNUMBER(SEARCH("Altus*",PRICING[Product]))+
                        ISNUMBER(SEARCH("Kontos*",PRICING[Product]))
                    )*
                    (PRICING[Min Qty]&lt;&gt;0)
                )
            )
        )
    ),
    ""
)</f>
        <v>$482.00 off on 2-3 units; $650.00 off on 4+ units</v>
      </c>
      <c r="E28" s="215" t="str">
        <f>_xlfn.XLOOKUP(A28, PRICING[SKU], PRICING[Product], "")</f>
        <v xml:space="preserve">Durentis® Insecticide  </v>
      </c>
      <c r="F28" s="46" t="str">
        <f>_xlfn.XLOOKUP(A28, PRICING[SKU], PRICING[Size], "")</f>
        <v>64 oz</v>
      </c>
      <c r="G28" s="40" t="str">
        <f>IF(_xlfn.XLOOKUP(A28,PRICING[SKU],PRICING[Indication])="I","Insecticide",
 IF(_xlfn.XLOOKUP(A28,PRICING[SKU],PRICING[Indication])="H","Herbicide",
 IF(_xlfn.XLOOKUP(A28,PRICING[SKU],PRICING[Indication])="F","Fungicide",
 IF(_xlfn.XLOOKUP(A28,PRICING[SKU],PRICING[Indication])="PGR","PGR",""))))</f>
        <v>Insecticide</v>
      </c>
      <c r="H28" s="47"/>
      <c r="I28" s="41">
        <f>INDEX(PRICING[2026 In-Season Price],MATCH(A28,PRICING[SKU],0))</f>
        <v>2470.4</v>
      </c>
      <c r="J28" s="42" t="str">
        <f t="shared" si="1"/>
        <v/>
      </c>
      <c r="K28" s="42">
        <f>INDEX(PRICING[NOW Price],MATCH(A28,PRICING[SKU],0))</f>
        <v>2100.48</v>
      </c>
      <c r="L28" s="42" t="str">
        <f t="shared" si="2"/>
        <v/>
      </c>
      <c r="M28" s="43">
        <f>INDEX(Rebate_Lookup[Instances],MATCH(A28,Rebate_Lookup[SKU CODE],0))</f>
        <v>3</v>
      </c>
      <c r="N28" s="43" t="str">
        <f>IF(H28="","",INDEX(Rebate_Lookup[Qualified Rebate Tier],MATCH(A28,Rebate_Lookup[SKU CODE],0)))</f>
        <v/>
      </c>
      <c r="O28" s="42" t="str">
        <f>IF(OR(H28="",N28=""),"",
IF(N28=1,INDEX(Rebate_Lookup[REB_MOQ_1],MATCH(A28,Rebate_Lookup[SKU CODE],0)),
IF(N28=2,INDEX(Rebate_Lookup[REB_MOQ_2],MATCH(A28,Rebate_Lookup[SKU CODE],0)),
IF(N28=3,INDEX(Rebate_Lookup[REB_MOQ_3],MATCH(A28,Rebate_Lookup[SKU CODE],0)),
IF(N28=4,INDEX(Rebate_Lookup[REB_MOQ_4],MATCH(A28,Rebate_Lookup[SKU CODE],0)),
"#err")))))</f>
        <v/>
      </c>
      <c r="P28" s="44" t="str">
        <f>IF(L68&gt;5000,IF(OR(O28=0,O28=""),"",H28*O28),"")</f>
        <v/>
      </c>
      <c r="Q28" s="44" t="str">
        <f>IF(
    H28&gt;0,
    IF(
        OR(
            AND(ISNUMBER(SEARCH("Specticle",E28)),ISNUMBER(SEARCH("FLO",E28))),
            AND(ISNUMBER(SEARCH("Ronstar",E28)),ISNUMBER(SEARCH("FLO",E28)))
        ),
        IF(
            AND(_xlfn.XLOOKUP(A28,PRICING[SKU],PRICING[October Bonus],FALSE),$R$10="YES"),
            ROUND(L28*$G$113,2),
            "N/A"
        ),
        IFERROR(
            IF(
                _xlfn.XLOOKUP(A28,PRICING[SKU],PRICING[October Bonus],FALSE),
                ROUND(L28*SUM($G$109:$G$113),2),
                ROUND(L28*SUM($G$109:$G$112),2)
            ),
            ""
        )
    ),
    ""
)</f>
        <v/>
      </c>
      <c r="R28" s="42" t="str">
        <f t="shared" si="3"/>
        <v/>
      </c>
      <c r="S28" s="203" t="str">
        <f t="shared" si="4"/>
        <v/>
      </c>
      <c r="T28" s="204" cm="1">
        <f t="array" ref="T28">IF(OR(H28="",H28=0),
ROUND(_xlfn.XLOOKUP(1,(PRICING[SKU]=A28)*(PRICING[Set]=1),PRICING[Standard Use Rate (oz/M)]),2),ROUND(
_xlfn.XLOOKUP(
1,
(PRICING[SKU]=A28)*
(PRICING[Set]=IF(
_xlfn.XLOOKUP(A28,Rebate_Lookup[SKU CODE],Rebate_Lookup[MOQ_2])=0,
1,
IF(
AND(
_xlfn.XLOOKUP(A28,Rebate_Lookup[SKU CODE],Rebate_Lookup[MOQ_3])=0,
H28&gt;=_xlfn.XLOOKUP(A28,Rebate_Lookup[SKU CODE],Rebate_Lookup[MOQ_2])
),
2,
IF(
AND(
H28&gt;=_xlfn.XLOOKUP(A28,Rebate_Lookup[SKU CODE],Rebate_Lookup[MOQ_1]),
H28&lt;_xlfn.XLOOKUP(A28,Rebate_Lookup[SKU CODE],Rebate_Lookup[MOQ_2])
),
1,
IF(
AND(
H28&gt;=_xlfn.XLOOKUP(A28,Rebate_Lookup[SKU CODE],Rebate_Lookup[MOQ_2]),
OR(
_xlfn.XLOOKUP(A28,Rebate_Lookup[SKU CODE],Rebate_Lookup[MOQ_3])=0,
H28&lt;_xlfn.XLOOKUP(A28,Rebate_Lookup[SKU CODE],Rebate_Lookup[MOQ_3])
)
),
2,
IF(
OR(
AND(
_xlfn.XLOOKUP(A28,Rebate_Lookup[SKU CODE],Rebate_Lookup[MOQ_4])=0,
H28&gt;=_xlfn.XLOOKUP(A28,Rebate_Lookup[SKU CODE],Rebate_Lookup[MOQ_3])
),
AND(
_xlfn.XLOOKUP(A28,Rebate_Lookup[SKU CODE],Rebate_Lookup[MOQ_4])&gt;0,
H28&gt;=_xlfn.XLOOKUP(A28,Rebate_Lookup[SKU CODE],Rebate_Lookup[MOQ_3]),
H28&lt;_xlfn.XLOOKUP(A28,Rebate_Lookup[SKU CODE],Rebate_Lookup[MOQ_4])
)
),
3,
IF(
AND(
_xlfn.XLOOKUP(A28,Rebate_Lookup[SKU CODE],Rebate_Lookup[MOQ_4])&gt;0,
H28&gt;=_xlfn.XLOOKUP(A28,Rebate_Lookup[SKU CODE],Rebate_Lookup[MOQ_4])
),
4,
1
)
)
)
)
)
)),
PRICING[Standard Use Rate (oz/M)]
),
2
))</f>
        <v>0.06</v>
      </c>
      <c r="U28" s="117">
        <f t="shared" si="5"/>
        <v>2.61</v>
      </c>
      <c r="V28" s="45" t="str">
        <f>IF(AND(TRIM(U28)&lt;&gt;"",TRIM(H28)&lt;&gt;""),ROUND(H28*INDEX(PRICING[Package Ounces],MATCH(A28,PRICING[SKU],0))/U28,2),"")</f>
        <v/>
      </c>
      <c r="W28" s="222">
        <f t="shared" si="6"/>
        <v>0</v>
      </c>
      <c r="X28" s="221">
        <f t="shared" si="7"/>
        <v>0</v>
      </c>
      <c r="AA28" s="48"/>
    </row>
    <row r="29" spans="1:27" ht="18.75" customHeight="1" x14ac:dyDescent="0.2">
      <c r="A29" s="175">
        <v>11008464</v>
      </c>
      <c r="B29" s="178" t="b">
        <f t="shared" si="0"/>
        <v>0</v>
      </c>
      <c r="D29" s="218" t="str" cm="1">
        <f t="array" ref="D29">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(PRICING[SKU]=$A29)*
            (
                ((PRICING[Rebate $]&lt;&gt;"")*(PRICING[Rebate $]&lt;&gt;0))
                +
                (
                    (
                        ISNUMBER(SEARCH("*Ronstar*FLO*",PRICING[Product]))+
                        ISNUMBER(SEARCH("Altus*",PRICING[Product]))+
                        ISNUMBER(SEARCH("Kontos*",PRICING[Product]))
                    )*
                    (PRICING[Min Qty]&lt;&gt;0)
                )
            )
        )
    ),
    ""
)</f>
        <v>$47.00 off on 8+ units</v>
      </c>
      <c r="E29" s="215" t="str">
        <f>_xlfn.XLOOKUP(A29, PRICING[SKU], PRICING[Product], "")</f>
        <v>Echelon® 4SC Herbicide</v>
      </c>
      <c r="F29" s="46" t="str">
        <f>_xlfn.XLOOKUP(A29, PRICING[SKU], PRICING[Size], "")</f>
        <v>1 gal</v>
      </c>
      <c r="G29" s="40" t="str">
        <f>IF(_xlfn.XLOOKUP(A29,PRICING[SKU],PRICING[Indication])="I","Insecticide",
 IF(_xlfn.XLOOKUP(A29,PRICING[SKU],PRICING[Indication])="H","Herbicide",
 IF(_xlfn.XLOOKUP(A29,PRICING[SKU],PRICING[Indication])="F","Fungicide",
 IF(_xlfn.XLOOKUP(A29,PRICING[SKU],PRICING[Indication])="PGR","PGR",""))))</f>
        <v>Herbicide</v>
      </c>
      <c r="H29" s="47"/>
      <c r="I29" s="41">
        <f>INDEX(PRICING[2026 In-Season Price],MATCH(A29,PRICING[SKU],0))</f>
        <v>464.64</v>
      </c>
      <c r="J29" s="42" t="str">
        <f t="shared" si="1"/>
        <v/>
      </c>
      <c r="K29" s="42">
        <f>INDEX(PRICING[NOW Price],MATCH(A29,PRICING[SKU],0))</f>
        <v>464.64</v>
      </c>
      <c r="L29" s="42" t="str">
        <f t="shared" si="2"/>
        <v/>
      </c>
      <c r="M29" s="43">
        <f>INDEX(Rebate_Lookup[Instances],MATCH(A29,Rebate_Lookup[SKU CODE],0))</f>
        <v>2</v>
      </c>
      <c r="N29" s="43" t="str">
        <f>IF(H29="","",INDEX(Rebate_Lookup[Qualified Rebate Tier],MATCH(A29,Rebate_Lookup[SKU CODE],0)))</f>
        <v/>
      </c>
      <c r="O29" s="42" t="str">
        <f>IF(OR(H29="",N29=""),"",
IF(N29=1,INDEX(Rebate_Lookup[REB_MOQ_1],MATCH(A29,Rebate_Lookup[SKU CODE],0)),
IF(N29=2,INDEX(Rebate_Lookup[REB_MOQ_2],MATCH(A29,Rebate_Lookup[SKU CODE],0)),
IF(N29=3,INDEX(Rebate_Lookup[REB_MOQ_3],MATCH(A29,Rebate_Lookup[SKU CODE],0)),
IF(N29=4,INDEX(Rebate_Lookup[REB_MOQ_4],MATCH(A29,Rebate_Lookup[SKU CODE],0)),
"#err")))))</f>
        <v/>
      </c>
      <c r="P29" s="44" t="str">
        <f>IF(L68&gt;5000,IF(OR(O29=0,O29=""),"",H29*O29),"")</f>
        <v/>
      </c>
      <c r="Q29" s="44" t="str">
        <f>IF(
    H29&gt;0,
    IF(
        OR(
            AND(ISNUMBER(SEARCH("Specticle",E29)),ISNUMBER(SEARCH("FLO",E29))),
            AND(ISNUMBER(SEARCH("Ronstar",E29)),ISNUMBER(SEARCH("FLO",E29)))
        ),
        IF(
            AND(_xlfn.XLOOKUP(A29,PRICING[SKU],PRICING[October Bonus],FALSE),$R$10="YES"),
            ROUND(L29*$G$113,2),
            "N/A"
        ),
        IFERROR(
            IF(
                _xlfn.XLOOKUP(A29,PRICING[SKU],PRICING[October Bonus],FALSE),
                ROUND(L29*SUM($G$109:$G$113),2),
                ROUND(L29*SUM($G$109:$G$112),2)
            ),
            ""
        )
    ),
    ""
)</f>
        <v/>
      </c>
      <c r="R29" s="42" t="str">
        <f t="shared" si="3"/>
        <v/>
      </c>
      <c r="S29" s="203" t="str">
        <f t="shared" si="4"/>
        <v/>
      </c>
      <c r="T29" s="204" cm="1">
        <f t="array" ref="T29">IF(OR(H29="",H29=0),
ROUND(_xlfn.XLOOKUP(1,(PRICING[SKU]=A29)*(PRICING[Set]=1),PRICING[Standard Use Rate (oz/M)]),2),ROUND(
_xlfn.XLOOKUP(
1,
(PRICING[SKU]=A29)*
(PRICING[Set]=IF(
_xlfn.XLOOKUP(A29,Rebate_Lookup[SKU CODE],Rebate_Lookup[MOQ_2])=0,
1,
IF(
AND(
_xlfn.XLOOKUP(A29,Rebate_Lookup[SKU CODE],Rebate_Lookup[MOQ_3])=0,
H29&gt;=_xlfn.XLOOKUP(A29,Rebate_Lookup[SKU CODE],Rebate_Lookup[MOQ_2])
),
2,
IF(
AND(
H29&gt;=_xlfn.XLOOKUP(A29,Rebate_Lookup[SKU CODE],Rebate_Lookup[MOQ_1]),
H29&lt;_xlfn.XLOOKUP(A29,Rebate_Lookup[SKU CODE],Rebate_Lookup[MOQ_2])
),
1,
IF(
AND(
H29&gt;=_xlfn.XLOOKUP(A29,Rebate_Lookup[SKU CODE],Rebate_Lookup[MOQ_2]),
OR(
_xlfn.XLOOKUP(A29,Rebate_Lookup[SKU CODE],Rebate_Lookup[MOQ_3])=0,
H29&lt;_xlfn.XLOOKUP(A29,Rebate_Lookup[SKU CODE],Rebate_Lookup[MOQ_3])
)
),
2,
IF(
OR(
AND(
_xlfn.XLOOKUP(A29,Rebate_Lookup[SKU CODE],Rebate_Lookup[MOQ_4])=0,
H29&gt;=_xlfn.XLOOKUP(A29,Rebate_Lookup[SKU CODE],Rebate_Lookup[MOQ_3])
),
AND(
_xlfn.XLOOKUP(A29,Rebate_Lookup[SKU CODE],Rebate_Lookup[MOQ_4])&gt;0,
H29&gt;=_xlfn.XLOOKUP(A29,Rebate_Lookup[SKU CODE],Rebate_Lookup[MOQ_3]),
H29&lt;_xlfn.XLOOKUP(A29,Rebate_Lookup[SKU CODE],Rebate_Lookup[MOQ_4])
)
),
3,
IF(
AND(
_xlfn.XLOOKUP(A29,Rebate_Lookup[SKU CODE],Rebate_Lookup[MOQ_4])&gt;0,
H29&gt;=_xlfn.XLOOKUP(A29,Rebate_Lookup[SKU CODE],Rebate_Lookup[MOQ_4])
),
4,
1
)
)
)
)
)
)),
PRICING[Standard Use Rate (oz/M)]
),
2
))</f>
        <v>0.55000000000000004</v>
      </c>
      <c r="U29" s="117">
        <f t="shared" si="5"/>
        <v>23.96</v>
      </c>
      <c r="V29" s="45" t="str">
        <f>IF(AND(TRIM(U29)&lt;&gt;"",TRIM(H29)&lt;&gt;""),ROUND(H29*INDEX(PRICING[Package Ounces],MATCH(A29,PRICING[SKU],0))/U29,2),"")</f>
        <v/>
      </c>
      <c r="W29" s="222">
        <f t="shared" si="6"/>
        <v>0</v>
      </c>
      <c r="X29" s="221">
        <f t="shared" si="7"/>
        <v>0</v>
      </c>
      <c r="AA29" s="48"/>
    </row>
    <row r="30" spans="1:27" ht="18.75" customHeight="1" x14ac:dyDescent="0.2">
      <c r="A30" s="174" t="s">
        <v>58</v>
      </c>
      <c r="B30" s="178" t="b">
        <f t="shared" si="0"/>
        <v>0</v>
      </c>
      <c r="D30" s="218" t="str" cm="1">
        <f t="array" ref="D30">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(PRICING[SKU]=$A30)*
            (
                ((PRICING[Rebate $]&lt;&gt;"")*(PRICING[Rebate $]&lt;&gt;0))
                +
                (
                    (
                        ISNUMBER(SEARCH("*Ronstar*FLO*",PRICING[Product]))+
                        ISNUMBER(SEARCH("Altus*",PRICING[Product]))+
                        ISNUMBER(SEARCH("Kontos*",PRICING[Product]))
                    )*
                    (PRICING[Min Qty]&lt;&gt;0)
                )
            )
        )
    ),
    ""
)</f>
        <v>$40.00 off on 6+ units</v>
      </c>
      <c r="E30" s="215" t="str">
        <f>_xlfn.XLOOKUP(A30, PRICING[SKU], PRICING[Product], "")</f>
        <v>Exteris® Stressgard®</v>
      </c>
      <c r="F30" s="46" t="str">
        <f>_xlfn.XLOOKUP(A30, PRICING[SKU], PRICING[Size], "")</f>
        <v> 2.5 gal</v>
      </c>
      <c r="G30" s="40" t="str">
        <f>IF(_xlfn.XLOOKUP(A30,PRICING[SKU],PRICING[Indication])="I","Insecticide",
 IF(_xlfn.XLOOKUP(A30,PRICING[SKU],PRICING[Indication])="H","Herbicide",
 IF(_xlfn.XLOOKUP(A30,PRICING[SKU],PRICING[Indication])="F","Fungicide",
 IF(_xlfn.XLOOKUP(A30,PRICING[SKU],PRICING[Indication])="PGR","PGR",""))))</f>
        <v>Fungicide</v>
      </c>
      <c r="H30" s="47"/>
      <c r="I30" s="41">
        <f>INDEX(PRICING[2026 In-Season Price],MATCH(A30,PRICING[SKU],0))</f>
        <v>387.2</v>
      </c>
      <c r="J30" s="42" t="str">
        <f t="shared" si="1"/>
        <v/>
      </c>
      <c r="K30" s="42">
        <f>INDEX(PRICING[NOW Price],MATCH(A30,PRICING[SKU],0))</f>
        <v>387.2</v>
      </c>
      <c r="L30" s="42" t="str">
        <f t="shared" si="2"/>
        <v/>
      </c>
      <c r="M30" s="43">
        <f>INDEX(Rebate_Lookup[Instances],MATCH(A30,Rebate_Lookup[SKU CODE],0))</f>
        <v>2</v>
      </c>
      <c r="N30" s="43" t="str">
        <f>IF(H30="","",INDEX(Rebate_Lookup[Qualified Rebate Tier],MATCH(A30,Rebate_Lookup[SKU CODE],0)))</f>
        <v/>
      </c>
      <c r="O30" s="42" t="str">
        <f>IF(OR(H30="",N30=""),"",
IF(N30=1,INDEX(Rebate_Lookup[REB_MOQ_1],MATCH(A30,Rebate_Lookup[SKU CODE],0)),
IF(N30=2,INDEX(Rebate_Lookup[REB_MOQ_2],MATCH(A30,Rebate_Lookup[SKU CODE],0)),
IF(N30=3,INDEX(Rebate_Lookup[REB_MOQ_3],MATCH(A30,Rebate_Lookup[SKU CODE],0)),
IF(N30=4,INDEX(Rebate_Lookup[REB_MOQ_4],MATCH(A30,Rebate_Lookup[SKU CODE],0)),
"#err")))))</f>
        <v/>
      </c>
      <c r="P30" s="44" t="str">
        <f>IF(L68&gt;5000,IF(OR(O30=0,O30=""),"",H30*O30),"")</f>
        <v/>
      </c>
      <c r="Q30" s="44" t="str">
        <f>IF(
    H30&gt;0,
    IF(
        OR(
            AND(ISNUMBER(SEARCH("Specticle",E30)),ISNUMBER(SEARCH("FLO",E30))),
            AND(ISNUMBER(SEARCH("Ronstar",E30)),ISNUMBER(SEARCH("FLO",E30)))
        ),
        IF(
            AND(_xlfn.XLOOKUP(A30,PRICING[SKU],PRICING[October Bonus],FALSE),$R$10="YES"),
            ROUND(L30*$G$113,2),
            "N/A"
        ),
        IFERROR(
            IF(
                _xlfn.XLOOKUP(A30,PRICING[SKU],PRICING[October Bonus],FALSE),
                ROUND(L30*SUM($G$109:$G$113),2),
                ROUND(L30*SUM($G$109:$G$112),2)
            ),
            ""
        )
    ),
    ""
)</f>
        <v/>
      </c>
      <c r="R30" s="42" t="str">
        <f t="shared" si="3"/>
        <v/>
      </c>
      <c r="S30" s="203" t="str">
        <f t="shared" si="4"/>
        <v/>
      </c>
      <c r="T30" s="204" cm="1">
        <f t="array" ref="T30">IF(OR(H30="",H30=0),
ROUND(_xlfn.XLOOKUP(1,(PRICING[SKU]=A30)*(PRICING[Set]=1),PRICING[Standard Use Rate (oz/M)]),2),ROUND(
_xlfn.XLOOKUP(
1,
(PRICING[SKU]=A30)*
(PRICING[Set]=IF(
_xlfn.XLOOKUP(A30,Rebate_Lookup[SKU CODE],Rebate_Lookup[MOQ_2])=0,
1,
IF(
AND(
_xlfn.XLOOKUP(A30,Rebate_Lookup[SKU CODE],Rebate_Lookup[MOQ_3])=0,
H30&gt;=_xlfn.XLOOKUP(A30,Rebate_Lookup[SKU CODE],Rebate_Lookup[MOQ_2])
),
2,
IF(
AND(
H30&gt;=_xlfn.XLOOKUP(A30,Rebate_Lookup[SKU CODE],Rebate_Lookup[MOQ_1]),
H30&lt;_xlfn.XLOOKUP(A30,Rebate_Lookup[SKU CODE],Rebate_Lookup[MOQ_2])
),
1,
IF(
AND(
H30&gt;=_xlfn.XLOOKUP(A30,Rebate_Lookup[SKU CODE],Rebate_Lookup[MOQ_2]),
OR(
_xlfn.XLOOKUP(A30,Rebate_Lookup[SKU CODE],Rebate_Lookup[MOQ_3])=0,
H30&lt;_xlfn.XLOOKUP(A30,Rebate_Lookup[SKU CODE],Rebate_Lookup[MOQ_3])
)
),
2,
IF(
OR(
AND(
_xlfn.XLOOKUP(A30,Rebate_Lookup[SKU CODE],Rebate_Lookup[MOQ_4])=0,
H30&gt;=_xlfn.XLOOKUP(A30,Rebate_Lookup[SKU CODE],Rebate_Lookup[MOQ_3])
),
AND(
_xlfn.XLOOKUP(A30,Rebate_Lookup[SKU CODE],Rebate_Lookup[MOQ_4])&gt;0,
H30&gt;=_xlfn.XLOOKUP(A30,Rebate_Lookup[SKU CODE],Rebate_Lookup[MOQ_3]),
H30&lt;_xlfn.XLOOKUP(A30,Rebate_Lookup[SKU CODE],Rebate_Lookup[MOQ_4])
)
),
3,
IF(
AND(
_xlfn.XLOOKUP(A30,Rebate_Lookup[SKU CODE],Rebate_Lookup[MOQ_4])&gt;0,
H30&gt;=_xlfn.XLOOKUP(A30,Rebate_Lookup[SKU CODE],Rebate_Lookup[MOQ_4])
),
4,
1
)
)
)
)
)
)),
PRICING[Standard Use Rate (oz/M)]
),
2
))</f>
        <v>4</v>
      </c>
      <c r="U30" s="117">
        <f t="shared" si="5"/>
        <v>174.24</v>
      </c>
      <c r="V30" s="45" t="str">
        <f>IF(AND(TRIM(U30)&lt;&gt;"",TRIM(H30)&lt;&gt;""),ROUND(H30*INDEX(PRICING[Package Ounces],MATCH(A30,PRICING[SKU],0))/U30,2),"")</f>
        <v/>
      </c>
      <c r="W30" s="222">
        <f t="shared" si="6"/>
        <v>0</v>
      </c>
      <c r="X30" s="221">
        <f t="shared" si="7"/>
        <v>0</v>
      </c>
      <c r="AA30" s="48"/>
    </row>
    <row r="31" spans="1:27" ht="18.75" customHeight="1" x14ac:dyDescent="0.2">
      <c r="A31" s="175">
        <v>11008377</v>
      </c>
      <c r="B31" s="178" t="b">
        <f t="shared" si="0"/>
        <v>0</v>
      </c>
      <c r="D31" s="218" t="str" cm="1">
        <f t="array" ref="D31">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(PRICING[SKU]=$A31)*
            (
                ((PRICING[Rebate $]&lt;&gt;"")*(PRICING[Rebate $]&lt;&gt;0))
                +
                (
                    (
                        ISNUMBER(SEARCH("*Ronstar*FLO*",PRICING[Product]))+
                        ISNUMBER(SEARCH("Altus*",PRICING[Product]))+
                        ISNUMBER(SEARCH("Kontos*",PRICING[Product]))
                    )*
                    (PRICING[Min Qty]&lt;&gt;0)
                )
            )
        )
    ),
    ""
)</f>
        <v/>
      </c>
      <c r="E31" s="215" t="str">
        <f>_xlfn.XLOOKUP(A31, PRICING[SKU], PRICING[Product], "")</f>
        <v>Fame® +C Fungicide</v>
      </c>
      <c r="F31" s="46" t="str">
        <f>_xlfn.XLOOKUP(A31, PRICING[SKU], PRICING[Size], "")</f>
        <v>2.5 gal</v>
      </c>
      <c r="G31" s="40" t="str">
        <f>IF(_xlfn.XLOOKUP(A31,PRICING[SKU],PRICING[Indication])="I","Insecticide",
 IF(_xlfn.XLOOKUP(A31,PRICING[SKU],PRICING[Indication])="H","Herbicide",
 IF(_xlfn.XLOOKUP(A31,PRICING[SKU],PRICING[Indication])="F","Fungicide",
 IF(_xlfn.XLOOKUP(A31,PRICING[SKU],PRICING[Indication])="PGR","PGR",""))))</f>
        <v>Fungicide</v>
      </c>
      <c r="H31" s="47"/>
      <c r="I31" s="41">
        <f>INDEX(PRICING[2026 In-Season Price],MATCH(A31,PRICING[SKU],0))</f>
        <v>630.4</v>
      </c>
      <c r="J31" s="42" t="str">
        <f t="shared" si="1"/>
        <v/>
      </c>
      <c r="K31" s="42">
        <f>INDEX(PRICING[NOW Price],MATCH(A31,PRICING[SKU],0))</f>
        <v>630.4</v>
      </c>
      <c r="L31" s="42" t="str">
        <f t="shared" si="2"/>
        <v/>
      </c>
      <c r="M31" s="43">
        <f>INDEX(Rebate_Lookup[Instances],MATCH(A31,Rebate_Lookup[SKU CODE],0))</f>
        <v>1</v>
      </c>
      <c r="N31" s="43" t="str">
        <f>IF(H31="","",INDEX(Rebate_Lookup[Qualified Rebate Tier],MATCH(A31,Rebate_Lookup[SKU CODE],0)))</f>
        <v/>
      </c>
      <c r="O31" s="42" t="str">
        <f>IF(OR(H31="",N31=""),"",
IF(N31=1,INDEX(Rebate_Lookup[REB_MOQ_1],MATCH(A31,Rebate_Lookup[SKU CODE],0)),
IF(N31=2,INDEX(Rebate_Lookup[REB_MOQ_2],MATCH(A31,Rebate_Lookup[SKU CODE],0)),
IF(N31=3,INDEX(Rebate_Lookup[REB_MOQ_3],MATCH(A31,Rebate_Lookup[SKU CODE],0)),
IF(N31=4,INDEX(Rebate_Lookup[REB_MOQ_4],MATCH(A31,Rebate_Lookup[SKU CODE],0)),
"#err")))))</f>
        <v/>
      </c>
      <c r="P31" s="44" t="str">
        <f>IF(L68&gt;5000,IF(OR(O31=0,O31=""),"",H31*O31),"")</f>
        <v/>
      </c>
      <c r="Q31" s="44" t="str">
        <f>IF(
    H31&gt;0,
    IF(
        OR(
            AND(ISNUMBER(SEARCH("Specticle",E31)),ISNUMBER(SEARCH("FLO",E31))),
            AND(ISNUMBER(SEARCH("Ronstar",E31)),ISNUMBER(SEARCH("FLO",E31)))
        ),
        IF(
            AND(_xlfn.XLOOKUP(A31,PRICING[SKU],PRICING[October Bonus],FALSE),$R$10="YES"),
            ROUND(L31*$G$113,2),
            "N/A"
        ),
        IFERROR(
            IF(
                _xlfn.XLOOKUP(A31,PRICING[SKU],PRICING[October Bonus],FALSE),
                ROUND(L31*SUM($G$109:$G$113),2),
                ROUND(L31*SUM($G$109:$G$112),2)
            ),
            ""
        )
    ),
    ""
)</f>
        <v/>
      </c>
      <c r="R31" s="42" t="str">
        <f t="shared" si="3"/>
        <v/>
      </c>
      <c r="S31" s="203" t="str">
        <f t="shared" si="4"/>
        <v/>
      </c>
      <c r="T31" s="204" cm="1">
        <f t="array" ref="T31">IF(OR(H31="",H31=0),
ROUND(_xlfn.XLOOKUP(1,(PRICING[SKU]=A31)*(PRICING[Set]=1),PRICING[Standard Use Rate (oz/M)]),2),ROUND(
_xlfn.XLOOKUP(
1,
(PRICING[SKU]=A31)*
(PRICING[Set]=IF(
_xlfn.XLOOKUP(A31,Rebate_Lookup[SKU CODE],Rebate_Lookup[MOQ_2])=0,
1,
IF(
AND(
_xlfn.XLOOKUP(A31,Rebate_Lookup[SKU CODE],Rebate_Lookup[MOQ_3])=0,
H31&gt;=_xlfn.XLOOKUP(A31,Rebate_Lookup[SKU CODE],Rebate_Lookup[MOQ_2])
),
2,
IF(
AND(
H31&gt;=_xlfn.XLOOKUP(A31,Rebate_Lookup[SKU CODE],Rebate_Lookup[MOQ_1]),
H31&lt;_xlfn.XLOOKUP(A31,Rebate_Lookup[SKU CODE],Rebate_Lookup[MOQ_2])
),
1,
IF(
AND(
H31&gt;=_xlfn.XLOOKUP(A31,Rebate_Lookup[SKU CODE],Rebate_Lookup[MOQ_2]),
OR(
_xlfn.XLOOKUP(A31,Rebate_Lookup[SKU CODE],Rebate_Lookup[MOQ_3])=0,
H31&lt;_xlfn.XLOOKUP(A31,Rebate_Lookup[SKU CODE],Rebate_Lookup[MOQ_3])
)
),
2,
IF(
OR(
AND(
_xlfn.XLOOKUP(A31,Rebate_Lookup[SKU CODE],Rebate_Lookup[MOQ_4])=0,
H31&gt;=_xlfn.XLOOKUP(A31,Rebate_Lookup[SKU CODE],Rebate_Lookup[MOQ_3])
),
AND(
_xlfn.XLOOKUP(A31,Rebate_Lookup[SKU CODE],Rebate_Lookup[MOQ_4])&gt;0,
H31&gt;=_xlfn.XLOOKUP(A31,Rebate_Lookup[SKU CODE],Rebate_Lookup[MOQ_3]),
H31&lt;_xlfn.XLOOKUP(A31,Rebate_Lookup[SKU CODE],Rebate_Lookup[MOQ_4])
)
),
3,
IF(
AND(
_xlfn.XLOOKUP(A31,Rebate_Lookup[SKU CODE],Rebate_Lookup[MOQ_4])&gt;0,
H31&gt;=_xlfn.XLOOKUP(A31,Rebate_Lookup[SKU CODE],Rebate_Lookup[MOQ_4])
),
4,
1
)
)
)
)
)
)),
PRICING[Standard Use Rate (oz/M)]
),
2
))</f>
        <v>4</v>
      </c>
      <c r="U31" s="117">
        <f t="shared" si="5"/>
        <v>174.24</v>
      </c>
      <c r="V31" s="45" t="str">
        <f>IF(AND(TRIM(U31)&lt;&gt;"",TRIM(H31)&lt;&gt;""),ROUND(H31*INDEX(PRICING[Package Ounces],MATCH(A31,PRICING[SKU],0))/U31,2),"")</f>
        <v/>
      </c>
      <c r="W31" s="222">
        <f t="shared" si="6"/>
        <v>0</v>
      </c>
      <c r="X31" s="221">
        <f t="shared" si="7"/>
        <v>0</v>
      </c>
      <c r="AA31" s="48"/>
    </row>
    <row r="32" spans="1:27" ht="18.75" customHeight="1" x14ac:dyDescent="0.2">
      <c r="A32" s="175">
        <v>11008393</v>
      </c>
      <c r="B32" s="178" t="b">
        <f t="shared" si="0"/>
        <v>0</v>
      </c>
      <c r="D32" s="218" t="str" cm="1">
        <f t="array" ref="D32">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(PRICING[SKU]=$A32)*
            (
                ((PRICING[Rebate $]&lt;&gt;"")*(PRICING[Rebate $]&lt;&gt;0))
                +
                (
                    (
                        ISNUMBER(SEARCH("*Ronstar*FLO*",PRICING[Product]))+
                        ISNUMBER(SEARCH("Altus*",PRICING[Product]))+
                        ISNUMBER(SEARCH("Kontos*",PRICING[Product]))
                    )*
                    (PRICING[Min Qty]&lt;&gt;0)
                )
            )
        )
    ),
    ""
)</f>
        <v>$70.00 off on 4+ units</v>
      </c>
      <c r="E32" s="215" t="str">
        <f>_xlfn.XLOOKUP(A32, PRICING[SKU], PRICING[Product], "")</f>
        <v>Fame® SC Fungicide</v>
      </c>
      <c r="F32" s="46" t="str">
        <f>_xlfn.XLOOKUP(A32, PRICING[SKU], PRICING[Size], "")</f>
        <v>16 oz</v>
      </c>
      <c r="G32" s="40" t="str">
        <f>IF(_xlfn.XLOOKUP(A32,PRICING[SKU],PRICING[Indication])="I","Insecticide",
 IF(_xlfn.XLOOKUP(A32,PRICING[SKU],PRICING[Indication])="H","Herbicide",
 IF(_xlfn.XLOOKUP(A32,PRICING[SKU],PRICING[Indication])="F","Fungicide",
 IF(_xlfn.XLOOKUP(A32,PRICING[SKU],PRICING[Indication])="PGR","PGR",""))))</f>
        <v>Fungicide</v>
      </c>
      <c r="H32" s="47"/>
      <c r="I32" s="41">
        <f>INDEX(PRICING[2026 In-Season Price],MATCH(A32,PRICING[SKU],0))</f>
        <v>456.48</v>
      </c>
      <c r="J32" s="42" t="str">
        <f t="shared" si="1"/>
        <v/>
      </c>
      <c r="K32" s="42">
        <f>INDEX(PRICING[NOW Price],MATCH(A32,PRICING[SKU],0))</f>
        <v>456.48</v>
      </c>
      <c r="L32" s="42" t="str">
        <f t="shared" si="2"/>
        <v/>
      </c>
      <c r="M32" s="43">
        <f>INDEX(Rebate_Lookup[Instances],MATCH(A32,Rebate_Lookup[SKU CODE],0))</f>
        <v>2</v>
      </c>
      <c r="N32" s="43" t="str">
        <f>IF(H32="","",INDEX(Rebate_Lookup[Qualified Rebate Tier],MATCH(A32,Rebate_Lookup[SKU CODE],0)))</f>
        <v/>
      </c>
      <c r="O32" s="42" t="str">
        <f>IF(OR(H32="",N32=""),"",
IF(N32=1,INDEX(Rebate_Lookup[REB_MOQ_1],MATCH(A32,Rebate_Lookup[SKU CODE],0)),
IF(N32=2,INDEX(Rebate_Lookup[REB_MOQ_2],MATCH(A32,Rebate_Lookup[SKU CODE],0)),
IF(N32=3,INDEX(Rebate_Lookup[REB_MOQ_3],MATCH(A32,Rebate_Lookup[SKU CODE],0)),
IF(N32=4,INDEX(Rebate_Lookup[REB_MOQ_4],MATCH(A32,Rebate_Lookup[SKU CODE],0)),
"#err")))))</f>
        <v/>
      </c>
      <c r="P32" s="44" t="str">
        <f>IF(L68&gt;5000,IF(OR(O32=0,O32=""),"",H32*O32),"")</f>
        <v/>
      </c>
      <c r="Q32" s="44" t="str">
        <f>IF(
    H32&gt;0,
    IF(
        OR(
            AND(ISNUMBER(SEARCH("Specticle",E32)),ISNUMBER(SEARCH("FLO",E32))),
            AND(ISNUMBER(SEARCH("Ronstar",E32)),ISNUMBER(SEARCH("FLO",E32)))
        ),
        IF(
            AND(_xlfn.XLOOKUP(A32,PRICING[SKU],PRICING[October Bonus],FALSE),$R$10="YES"),
            ROUND(L32*$G$113,2),
            "N/A"
        ),
        IFERROR(
            IF(
                _xlfn.XLOOKUP(A32,PRICING[SKU],PRICING[October Bonus],FALSE),
                ROUND(L32*SUM($G$109:$G$113),2),
                ROUND(L32*SUM($G$109:$G$112),2)
            ),
            ""
        )
    ),
    ""
)</f>
        <v/>
      </c>
      <c r="R32" s="42" t="str">
        <f t="shared" si="3"/>
        <v/>
      </c>
      <c r="S32" s="203" t="str">
        <f t="shared" si="4"/>
        <v/>
      </c>
      <c r="T32" s="204" cm="1">
        <f t="array" ref="T32">IF(OR(H32="",H32=0),
ROUND(_xlfn.XLOOKUP(1,(PRICING[SKU]=A32)*(PRICING[Set]=1),PRICING[Standard Use Rate (oz/M)]),2),ROUND(
_xlfn.XLOOKUP(
1,
(PRICING[SKU]=A32)*
(PRICING[Set]=IF(
_xlfn.XLOOKUP(A32,Rebate_Lookup[SKU CODE],Rebate_Lookup[MOQ_2])=0,
1,
IF(
AND(
_xlfn.XLOOKUP(A32,Rebate_Lookup[SKU CODE],Rebate_Lookup[MOQ_3])=0,
H32&gt;=_xlfn.XLOOKUP(A32,Rebate_Lookup[SKU CODE],Rebate_Lookup[MOQ_2])
),
2,
IF(
AND(
H32&gt;=_xlfn.XLOOKUP(A32,Rebate_Lookup[SKU CODE],Rebate_Lookup[MOQ_1]),
H32&lt;_xlfn.XLOOKUP(A32,Rebate_Lookup[SKU CODE],Rebate_Lookup[MOQ_2])
),
1,
IF(
AND(
H32&gt;=_xlfn.XLOOKUP(A32,Rebate_Lookup[SKU CODE],Rebate_Lookup[MOQ_2]),
OR(
_xlfn.XLOOKUP(A32,Rebate_Lookup[SKU CODE],Rebate_Lookup[MOQ_3])=0,
H32&lt;_xlfn.XLOOKUP(A32,Rebate_Lookup[SKU CODE],Rebate_Lookup[MOQ_3])
)
),
2,
IF(
OR(
AND(
_xlfn.XLOOKUP(A32,Rebate_Lookup[SKU CODE],Rebate_Lookup[MOQ_4])=0,
H32&gt;=_xlfn.XLOOKUP(A32,Rebate_Lookup[SKU CODE],Rebate_Lookup[MOQ_3])
),
AND(
_xlfn.XLOOKUP(A32,Rebate_Lookup[SKU CODE],Rebate_Lookup[MOQ_4])&gt;0,
H32&gt;=_xlfn.XLOOKUP(A32,Rebate_Lookup[SKU CODE],Rebate_Lookup[MOQ_3]),
H32&lt;_xlfn.XLOOKUP(A32,Rebate_Lookup[SKU CODE],Rebate_Lookup[MOQ_4])
)
),
3,
IF(
AND(
_xlfn.XLOOKUP(A32,Rebate_Lookup[SKU CODE],Rebate_Lookup[MOQ_4])&gt;0,
H32&gt;=_xlfn.XLOOKUP(A32,Rebate_Lookup[SKU CODE],Rebate_Lookup[MOQ_4])
),
4,
1
)
)
)
)
)
)),
PRICING[Standard Use Rate (oz/M)]
),
2
))</f>
        <v>0.36</v>
      </c>
      <c r="U32" s="117">
        <f t="shared" si="5"/>
        <v>15.68</v>
      </c>
      <c r="V32" s="45" t="str">
        <f>IF(AND(TRIM(U32)&lt;&gt;"",TRIM(H32)&lt;&gt;""),ROUND(H32*INDEX(PRICING[Package Ounces],MATCH(A32,PRICING[SKU],0))/U32,2),"")</f>
        <v/>
      </c>
      <c r="W32" s="222">
        <f t="shared" si="6"/>
        <v>0</v>
      </c>
      <c r="X32" s="221">
        <f t="shared" si="7"/>
        <v>0</v>
      </c>
      <c r="AA32" s="48"/>
    </row>
    <row r="33" spans="1:27" ht="18.75" customHeight="1" x14ac:dyDescent="0.2">
      <c r="A33" s="175">
        <v>11008557</v>
      </c>
      <c r="B33" s="178" t="b">
        <f t="shared" si="0"/>
        <v>0</v>
      </c>
      <c r="D33" s="218" t="str" cm="1">
        <f t="array" ref="D33">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(PRICING[SKU]=$A33)*
            (
                ((PRICING[Rebate $]&lt;&gt;"")*(PRICING[Rebate $]&lt;&gt;0))
                +
                (
                    (
                        ISNUMBER(SEARCH("*Ronstar*FLO*",PRICING[Product]))+
                        ISNUMBER(SEARCH("Altus*",PRICING[Product]))+
                        ISNUMBER(SEARCH("Kontos*",PRICING[Product]))
                    )*
                    (PRICING[Min Qty]&lt;&gt;0)
                )
            )
        )
    ),
    ""
)</f>
        <v>$395.00 off on 4+ units</v>
      </c>
      <c r="E33" s="215" t="str">
        <f>_xlfn.XLOOKUP(A33, PRICING[SKU], PRICING[Product], "")</f>
        <v>Fame® SC Fungicide</v>
      </c>
      <c r="F33" s="46" t="str">
        <f>_xlfn.XLOOKUP(A33, PRICING[SKU], PRICING[Size], "")</f>
        <v>64 oz</v>
      </c>
      <c r="G33" s="40" t="str">
        <f>IF(_xlfn.XLOOKUP(A33,PRICING[SKU],PRICING[Indication])="I","Insecticide",
 IF(_xlfn.XLOOKUP(A33,PRICING[SKU],PRICING[Indication])="H","Herbicide",
 IF(_xlfn.XLOOKUP(A33,PRICING[SKU],PRICING[Indication])="F","Fungicide",
 IF(_xlfn.XLOOKUP(A33,PRICING[SKU],PRICING[Indication])="PGR","PGR",""))))</f>
        <v>Fungicide</v>
      </c>
      <c r="H33" s="47"/>
      <c r="I33" s="41">
        <f>INDEX(PRICING[2026 In-Season Price],MATCH(A33,PRICING[SKU],0))</f>
        <v>1652.48</v>
      </c>
      <c r="J33" s="42" t="str">
        <f t="shared" si="1"/>
        <v/>
      </c>
      <c r="K33" s="42">
        <f>INDEX(PRICING[NOW Price],MATCH(A33,PRICING[SKU],0))</f>
        <v>1652.48</v>
      </c>
      <c r="L33" s="42" t="str">
        <f>IF(H33*K33= 0,"",ROUND(H33*K33,2))</f>
        <v/>
      </c>
      <c r="M33" s="43">
        <f>INDEX(Rebate_Lookup[Instances],MATCH(A33,Rebate_Lookup[SKU CODE],0))</f>
        <v>2</v>
      </c>
      <c r="N33" s="43" t="str">
        <f>IF(H33="","",INDEX(Rebate_Lookup[Qualified Rebate Tier],MATCH(A33,Rebate_Lookup[SKU CODE],0)))</f>
        <v/>
      </c>
      <c r="O33" s="42" t="str">
        <f>IF(OR(H33="",N33=""),"",
IF(N33=1,INDEX(Rebate_Lookup[REB_MOQ_1],MATCH(A33,Rebate_Lookup[SKU CODE],0)),
IF(N33=2,INDEX(Rebate_Lookup[REB_MOQ_2],MATCH(A33,Rebate_Lookup[SKU CODE],0)),
IF(N33=3,INDEX(Rebate_Lookup[REB_MOQ_3],MATCH(A33,Rebate_Lookup[SKU CODE],0)),
IF(N33=4,INDEX(Rebate_Lookup[REB_MOQ_4],MATCH(A33,Rebate_Lookup[SKU CODE],0)),
"#err")))))</f>
        <v/>
      </c>
      <c r="P33" s="44" t="str">
        <f>IF(L68&gt;5000,IF(OR(O33=0,O33=""),"",H33*O33),"")</f>
        <v/>
      </c>
      <c r="Q33" s="44" t="str">
        <f>IF(
    H33&gt;0,
    IF(
        OR(
            AND(ISNUMBER(SEARCH("Specticle",E33)),ISNUMBER(SEARCH("FLO",E33))),
            AND(ISNUMBER(SEARCH("Ronstar",E33)),ISNUMBER(SEARCH("FLO",E33)))
        ),
        IF(
            AND(_xlfn.XLOOKUP(A33,PRICING[SKU],PRICING[October Bonus],FALSE),$R$10="YES"),
            ROUND(L33*$G$113,2),
            "N/A"
        ),
        IFERROR(
            IF(
                _xlfn.XLOOKUP(A33,PRICING[SKU],PRICING[October Bonus],FALSE),
                ROUND(L33*SUM($G$109:$G$113),2),
                ROUND(L33*SUM($G$109:$G$112),2)
            ),
            ""
        )
    ),
    ""
)</f>
        <v/>
      </c>
      <c r="R33" s="42" t="str">
        <f t="shared" si="3"/>
        <v/>
      </c>
      <c r="S33" s="203" t="str">
        <f t="shared" si="4"/>
        <v/>
      </c>
      <c r="T33" s="204" cm="1">
        <f t="array" ref="T33">IF(OR(H33="",H33=0),
ROUND(_xlfn.XLOOKUP(1,(PRICING[SKU]=A33)*(PRICING[Set]=1),PRICING[Standard Use Rate (oz/M)]),2),ROUND(
_xlfn.XLOOKUP(
1,
(PRICING[SKU]=A33)*
(PRICING[Set]=IF(
_xlfn.XLOOKUP(A33,Rebate_Lookup[SKU CODE],Rebate_Lookup[MOQ_2])=0,
1,
IF(
AND(
_xlfn.XLOOKUP(A33,Rebate_Lookup[SKU CODE],Rebate_Lookup[MOQ_3])=0,
H33&gt;=_xlfn.XLOOKUP(A33,Rebate_Lookup[SKU CODE],Rebate_Lookup[MOQ_2])
),
2,
IF(
AND(
H33&gt;=_xlfn.XLOOKUP(A33,Rebate_Lookup[SKU CODE],Rebate_Lookup[MOQ_1]),
H33&lt;_xlfn.XLOOKUP(A33,Rebate_Lookup[SKU CODE],Rebate_Lookup[MOQ_2])
),
1,
IF(
AND(
H33&gt;=_xlfn.XLOOKUP(A33,Rebate_Lookup[SKU CODE],Rebate_Lookup[MOQ_2]),
OR(
_xlfn.XLOOKUP(A33,Rebate_Lookup[SKU CODE],Rebate_Lookup[MOQ_3])=0,
H33&lt;_xlfn.XLOOKUP(A33,Rebate_Lookup[SKU CODE],Rebate_Lookup[MOQ_3])
)
),
2,
IF(
OR(
AND(
_xlfn.XLOOKUP(A33,Rebate_Lookup[SKU CODE],Rebate_Lookup[MOQ_4])=0,
H33&gt;=_xlfn.XLOOKUP(A33,Rebate_Lookup[SKU CODE],Rebate_Lookup[MOQ_3])
),
AND(
_xlfn.XLOOKUP(A33,Rebate_Lookup[SKU CODE],Rebate_Lookup[MOQ_4])&gt;0,
H33&gt;=_xlfn.XLOOKUP(A33,Rebate_Lookup[SKU CODE],Rebate_Lookup[MOQ_3]),
H33&lt;_xlfn.XLOOKUP(A33,Rebate_Lookup[SKU CODE],Rebate_Lookup[MOQ_4])
)
),
3,
IF(
AND(
_xlfn.XLOOKUP(A33,Rebate_Lookup[SKU CODE],Rebate_Lookup[MOQ_4])&gt;0,
H33&gt;=_xlfn.XLOOKUP(A33,Rebate_Lookup[SKU CODE],Rebate_Lookup[MOQ_4])
),
4,
1
)
)
)
)
)
)),
PRICING[Standard Use Rate (oz/M)]
),
2
))</f>
        <v>0.36</v>
      </c>
      <c r="U33" s="117">
        <f t="shared" si="5"/>
        <v>15.68</v>
      </c>
      <c r="V33" s="45" t="str">
        <f>IF(AND(TRIM(U33)&lt;&gt;"",TRIM(H33)&lt;&gt;""),ROUND(H33*INDEX(PRICING[Package Ounces],MATCH(A33,PRICING[SKU],0))/U33,2),"")</f>
        <v/>
      </c>
      <c r="W33" s="222">
        <f t="shared" si="6"/>
        <v>0</v>
      </c>
      <c r="X33" s="221">
        <f t="shared" si="7"/>
        <v>0</v>
      </c>
      <c r="AA33" s="48"/>
    </row>
    <row r="34" spans="1:27" ht="18.75" customHeight="1" x14ac:dyDescent="0.2">
      <c r="A34" s="174">
        <v>11009500</v>
      </c>
      <c r="B34" s="178" t="b">
        <f t="shared" si="0"/>
        <v>0</v>
      </c>
      <c r="D34" s="218" t="str" cm="1">
        <f t="array" ref="D34">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(PRICING[SKU]=$A34)*
            (
                ((PRICING[Rebate $]&lt;&gt;"")*(PRICING[Rebate $]&lt;&gt;0))
                +
                (
                    (
                        ISNUMBER(SEARCH("*Ronstar*FLO*",PRICING[Product]))+
                        ISNUMBER(SEARCH("Altus*",PRICING[Product]))+
                        ISNUMBER(SEARCH("Kontos*",PRICING[Product]))
                    )*
                    (PRICING[Min Qty]&lt;&gt;0)
                )
            )
        )
    ),
    ""
)</f>
        <v>$1,290.00 off on 1-3 units; $1,390.00 off on 4+ units</v>
      </c>
      <c r="E34" s="215" t="str">
        <f>_xlfn.XLOOKUP(A34, PRICING[SKU], PRICING[Product], "")</f>
        <v>Fame® SC Fungicide</v>
      </c>
      <c r="F34" s="46" t="str">
        <f>_xlfn.XLOOKUP(A34, PRICING[SKU], PRICING[Size], "")</f>
        <v>2.5 gal</v>
      </c>
      <c r="G34" s="40" t="str">
        <f>IF(_xlfn.XLOOKUP(A34,PRICING[SKU],PRICING[Indication])="I","Insecticide",
 IF(_xlfn.XLOOKUP(A34,PRICING[SKU],PRICING[Indication])="H","Herbicide",
 IF(_xlfn.XLOOKUP(A34,PRICING[SKU],PRICING[Indication])="F","Fungicide",
 IF(_xlfn.XLOOKUP(A34,PRICING[SKU],PRICING[Indication])="PGR","PGR",""))))</f>
        <v>Fungicide</v>
      </c>
      <c r="H34" s="47"/>
      <c r="I34" s="41">
        <f>INDEX(PRICING[2026 In-Season Price],MATCH(A34,PRICING[SKU],0))</f>
        <v>7462.4</v>
      </c>
      <c r="J34" s="42" t="str">
        <f t="shared" si="1"/>
        <v/>
      </c>
      <c r="K34" s="42">
        <f>INDEX(PRICING[NOW Price],MATCH(A34,PRICING[SKU],0))</f>
        <v>7462.4</v>
      </c>
      <c r="L34" s="42" t="str">
        <f t="shared" si="2"/>
        <v/>
      </c>
      <c r="M34" s="43">
        <f>INDEX(Rebate_Lookup[Instances],MATCH(A34,Rebate_Lookup[SKU CODE],0))</f>
        <v>2</v>
      </c>
      <c r="N34" s="43" t="str">
        <f>IF(H34="","",INDEX(Rebate_Lookup[Qualified Rebate Tier],MATCH(A34,Rebate_Lookup[SKU CODE],0)))</f>
        <v/>
      </c>
      <c r="O34" s="42" t="str">
        <f>IF(OR(H34="",N34=""),"",
IF(N34=1,INDEX(Rebate_Lookup[REB_MOQ_1],MATCH(A34,Rebate_Lookup[SKU CODE],0)),
IF(N34=2,INDEX(Rebate_Lookup[REB_MOQ_2],MATCH(A34,Rebate_Lookup[SKU CODE],0)),
IF(N34=3,INDEX(Rebate_Lookup[REB_MOQ_3],MATCH(A34,Rebate_Lookup[SKU CODE],0)),
IF(N34=4,INDEX(Rebate_Lookup[REB_MOQ_4],MATCH(A34,Rebate_Lookup[SKU CODE],0)),
"#err")))))</f>
        <v/>
      </c>
      <c r="P34" s="44" t="str">
        <f>IF(L68&gt;5000,IF(OR(O34=0,O34=""),"",H34*O34),"")</f>
        <v/>
      </c>
      <c r="Q34" s="44" t="str">
        <f>IF(
    H34&gt;0,
    IF(
        OR(
            AND(ISNUMBER(SEARCH("Specticle",E34)),ISNUMBER(SEARCH("FLO",E34))),
            AND(ISNUMBER(SEARCH("Ronstar",E34)),ISNUMBER(SEARCH("FLO",E34)))
        ),
        IF(
            AND(_xlfn.XLOOKUP(A34,PRICING[SKU],PRICING[October Bonus],FALSE),$R$10="YES"),
            ROUND(L34*$G$113,2),
            "N/A"
        ),
        IFERROR(
            IF(
                _xlfn.XLOOKUP(A34,PRICING[SKU],PRICING[October Bonus],FALSE),
                ROUND(L34*SUM($G$109:$G$113),2),
                ROUND(L34*SUM($G$109:$G$112),2)
            ),
            ""
        )
    ),
    ""
)</f>
        <v/>
      </c>
      <c r="R34" s="42" t="str">
        <f t="shared" si="3"/>
        <v/>
      </c>
      <c r="S34" s="203" t="str">
        <f t="shared" si="4"/>
        <v/>
      </c>
      <c r="T34" s="204" cm="1">
        <f t="array" ref="T34">IF(OR(H34="",H34=0),
ROUND(_xlfn.XLOOKUP(1,(PRICING[SKU]=A34)*(PRICING[Set]=1),PRICING[Standard Use Rate (oz/M)]),2),ROUND(
_xlfn.XLOOKUP(
1,
(PRICING[SKU]=A34)*
(PRICING[Set]=IF(
_xlfn.XLOOKUP(A34,Rebate_Lookup[SKU CODE],Rebate_Lookup[MOQ_2])=0,
1,
IF(
AND(
_xlfn.XLOOKUP(A34,Rebate_Lookup[SKU CODE],Rebate_Lookup[MOQ_3])=0,
H34&gt;=_xlfn.XLOOKUP(A34,Rebate_Lookup[SKU CODE],Rebate_Lookup[MOQ_2])
),
2,
IF(
AND(
H34&gt;=_xlfn.XLOOKUP(A34,Rebate_Lookup[SKU CODE],Rebate_Lookup[MOQ_1]),
H34&lt;_xlfn.XLOOKUP(A34,Rebate_Lookup[SKU CODE],Rebate_Lookup[MOQ_2])
),
1,
IF(
AND(
H34&gt;=_xlfn.XLOOKUP(A34,Rebate_Lookup[SKU CODE],Rebate_Lookup[MOQ_2]),
OR(
_xlfn.XLOOKUP(A34,Rebate_Lookup[SKU CODE],Rebate_Lookup[MOQ_3])=0,
H34&lt;_xlfn.XLOOKUP(A34,Rebate_Lookup[SKU CODE],Rebate_Lookup[MOQ_3])
)
),
2,
IF(
OR(
AND(
_xlfn.XLOOKUP(A34,Rebate_Lookup[SKU CODE],Rebate_Lookup[MOQ_4])=0,
H34&gt;=_xlfn.XLOOKUP(A34,Rebate_Lookup[SKU CODE],Rebate_Lookup[MOQ_3])
),
AND(
_xlfn.XLOOKUP(A34,Rebate_Lookup[SKU CODE],Rebate_Lookup[MOQ_4])&gt;0,
H34&gt;=_xlfn.XLOOKUP(A34,Rebate_Lookup[SKU CODE],Rebate_Lookup[MOQ_3]),
H34&lt;_xlfn.XLOOKUP(A34,Rebate_Lookup[SKU CODE],Rebate_Lookup[MOQ_4])
)
),
3,
IF(
AND(
_xlfn.XLOOKUP(A34,Rebate_Lookup[SKU CODE],Rebate_Lookup[MOQ_4])&gt;0,
H34&gt;=_xlfn.XLOOKUP(A34,Rebate_Lookup[SKU CODE],Rebate_Lookup[MOQ_4])
),
4,
1
)
)
)
)
)
)),
PRICING[Standard Use Rate (oz/M)]
),
2
))</f>
        <v>0.36</v>
      </c>
      <c r="U34" s="117">
        <f t="shared" si="5"/>
        <v>15.68</v>
      </c>
      <c r="V34" s="45" t="str">
        <f>IF(AND(TRIM(U34)&lt;&gt;"",TRIM(H34)&lt;&gt;""),ROUND(H34*INDEX(PRICING[Package Ounces],MATCH(A34,PRICING[SKU],0))/U34,2),"")</f>
        <v/>
      </c>
      <c r="W34" s="222">
        <f t="shared" si="6"/>
        <v>0</v>
      </c>
      <c r="X34" s="221">
        <f t="shared" si="7"/>
        <v>0</v>
      </c>
      <c r="AA34" s="48"/>
    </row>
    <row r="35" spans="1:27" ht="18.75" customHeight="1" x14ac:dyDescent="0.2">
      <c r="A35" s="174" t="s">
        <v>59</v>
      </c>
      <c r="B35" s="178" t="b">
        <f t="shared" si="0"/>
        <v>0</v>
      </c>
      <c r="D35" s="218" t="str" cm="1">
        <f t="array" ref="D35">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(PRICING[SKU]=$A35)*
            (
                ((PRICING[Rebate $]&lt;&gt;"")*(PRICING[Rebate $]&lt;&gt;0))
                +
                (
                    (
                        ISNUMBER(SEARCH("*Ronstar*FLO*",PRICING[Product]))+
                        ISNUMBER(SEARCH("Altus*",PRICING[Product]))+
                        ISNUMBER(SEARCH("Kontos*",PRICING[Product]))
                    )*
                    (PRICING[Min Qty]&lt;&gt;0)
                )
            )
        )
    ),
    ""
)</f>
        <v>$10.00 off on 16+ units</v>
      </c>
      <c r="E35" s="215" t="str">
        <f>_xlfn.XLOOKUP(A35, PRICING[SKU], PRICING[Product], "")</f>
        <v>Fiata® Stressgard®</v>
      </c>
      <c r="F35" s="46" t="str">
        <f>_xlfn.XLOOKUP(A35, PRICING[SKU], PRICING[Size], "")</f>
        <v> 2.5 gal</v>
      </c>
      <c r="G35" s="40" t="str">
        <f>IF(_xlfn.XLOOKUP(A35,PRICING[SKU],PRICING[Indication])="I","Insecticide",
 IF(_xlfn.XLOOKUP(A35,PRICING[SKU],PRICING[Indication])="H","Herbicide",
 IF(_xlfn.XLOOKUP(A35,PRICING[SKU],PRICING[Indication])="F","Fungicide",
 IF(_xlfn.XLOOKUP(A35,PRICING[SKU],PRICING[Indication])="PGR","PGR",""))))</f>
        <v>Fungicide</v>
      </c>
      <c r="H35" s="47"/>
      <c r="I35" s="41">
        <f>INDEX(PRICING[2026 In-Season Price],MATCH(A35,PRICING[SKU],0))</f>
        <v>201.6</v>
      </c>
      <c r="J35" s="42" t="str">
        <f t="shared" si="1"/>
        <v/>
      </c>
      <c r="K35" s="42">
        <f>INDEX(PRICING[NOW Price],MATCH(A35,PRICING[SKU],0))</f>
        <v>201.6</v>
      </c>
      <c r="L35" s="42" t="str">
        <f t="shared" si="2"/>
        <v/>
      </c>
      <c r="M35" s="43">
        <f>INDEX(Rebate_Lookup[Instances],MATCH(A35,Rebate_Lookup[SKU CODE],0))</f>
        <v>2</v>
      </c>
      <c r="N35" s="43" t="str">
        <f>IF(H35="","",INDEX(Rebate_Lookup[Qualified Rebate Tier],MATCH(A35,Rebate_Lookup[SKU CODE],0)))</f>
        <v/>
      </c>
      <c r="O35" s="42" t="str">
        <f>IF(OR(H35="",N35=""),"",
IF(N35=1,INDEX(Rebate_Lookup[REB_MOQ_1],MATCH(A35,Rebate_Lookup[SKU CODE],0)),
IF(N35=2,INDEX(Rebate_Lookup[REB_MOQ_2],MATCH(A35,Rebate_Lookup[SKU CODE],0)),
IF(N35=3,INDEX(Rebate_Lookup[REB_MOQ_3],MATCH(A35,Rebate_Lookup[SKU CODE],0)),
IF(N35=4,INDEX(Rebate_Lookup[REB_MOQ_4],MATCH(A35,Rebate_Lookup[SKU CODE],0)),
"#err")))))</f>
        <v/>
      </c>
      <c r="P35" s="44" t="str">
        <f>IF(L68&gt;5000,IF(OR(O35=0,O35=""),"",H35*O35),"")</f>
        <v/>
      </c>
      <c r="Q35" s="44" t="str">
        <f>IF(
    H35&gt;0,
    IF(
        OR(
            AND(ISNUMBER(SEARCH("Specticle",E35)),ISNUMBER(SEARCH("FLO",E35))),
            AND(ISNUMBER(SEARCH("Ronstar",E35)),ISNUMBER(SEARCH("FLO",E35)))
        ),
        IF(
            AND(_xlfn.XLOOKUP(A35,PRICING[SKU],PRICING[October Bonus],FALSE),$R$10="YES"),
            ROUND(L35*$G$113,2),
            "N/A"
        ),
        IFERROR(
            IF(
                _xlfn.XLOOKUP(A35,PRICING[SKU],PRICING[October Bonus],FALSE),
                ROUND(L35*SUM($G$109:$G$113),2),
                ROUND(L35*SUM($G$109:$G$112),2)
            ),
            ""
        )
    ),
    ""
)</f>
        <v/>
      </c>
      <c r="R35" s="42" t="str">
        <f t="shared" si="3"/>
        <v/>
      </c>
      <c r="S35" s="203" t="str">
        <f t="shared" si="4"/>
        <v/>
      </c>
      <c r="T35" s="204" cm="1">
        <f t="array" ref="T35">IF(OR(H35="",H35=0),
ROUND(_xlfn.XLOOKUP(1,(PRICING[SKU]=A35)*(PRICING[Set]=1),PRICING[Standard Use Rate (oz/M)]),2),ROUND(
_xlfn.XLOOKUP(
1,
(PRICING[SKU]=A35)*
(PRICING[Set]=IF(
_xlfn.XLOOKUP(A35,Rebate_Lookup[SKU CODE],Rebate_Lookup[MOQ_2])=0,
1,
IF(
AND(
_xlfn.XLOOKUP(A35,Rebate_Lookup[SKU CODE],Rebate_Lookup[MOQ_3])=0,
H35&gt;=_xlfn.XLOOKUP(A35,Rebate_Lookup[SKU CODE],Rebate_Lookup[MOQ_2])
),
2,
IF(
AND(
H35&gt;=_xlfn.XLOOKUP(A35,Rebate_Lookup[SKU CODE],Rebate_Lookup[MOQ_1]),
H35&lt;_xlfn.XLOOKUP(A35,Rebate_Lookup[SKU CODE],Rebate_Lookup[MOQ_2])
),
1,
IF(
AND(
H35&gt;=_xlfn.XLOOKUP(A35,Rebate_Lookup[SKU CODE],Rebate_Lookup[MOQ_2]),
OR(
_xlfn.XLOOKUP(A35,Rebate_Lookup[SKU CODE],Rebate_Lookup[MOQ_3])=0,
H35&lt;_xlfn.XLOOKUP(A35,Rebate_Lookup[SKU CODE],Rebate_Lookup[MOQ_3])
)
),
2,
IF(
OR(
AND(
_xlfn.XLOOKUP(A35,Rebate_Lookup[SKU CODE],Rebate_Lookup[MOQ_4])=0,
H35&gt;=_xlfn.XLOOKUP(A35,Rebate_Lookup[SKU CODE],Rebate_Lookup[MOQ_3])
),
AND(
_xlfn.XLOOKUP(A35,Rebate_Lookup[SKU CODE],Rebate_Lookup[MOQ_4])&gt;0,
H35&gt;=_xlfn.XLOOKUP(A35,Rebate_Lookup[SKU CODE],Rebate_Lookup[MOQ_3]),
H35&lt;_xlfn.XLOOKUP(A35,Rebate_Lookup[SKU CODE],Rebate_Lookup[MOQ_4])
)
),
3,
IF(
AND(
_xlfn.XLOOKUP(A35,Rebate_Lookup[SKU CODE],Rebate_Lookup[MOQ_4])&gt;0,
H35&gt;=_xlfn.XLOOKUP(A35,Rebate_Lookup[SKU CODE],Rebate_Lookup[MOQ_4])
),
4,
1
)
)
)
)
)
)),
PRICING[Standard Use Rate (oz/M)]
),
2
))</f>
        <v>3</v>
      </c>
      <c r="U35" s="117">
        <f t="shared" si="5"/>
        <v>130.68</v>
      </c>
      <c r="V35" s="45" t="str">
        <f>IF(AND(TRIM(U35)&lt;&gt;"",TRIM(H35)&lt;&gt;""),ROUND(H35*INDEX(PRICING[Package Ounces],MATCH(A35,PRICING[SKU],0))/U35,2),"")</f>
        <v/>
      </c>
      <c r="W35" s="222">
        <f t="shared" si="6"/>
        <v>0</v>
      </c>
      <c r="X35" s="221">
        <f t="shared" si="7"/>
        <v>0</v>
      </c>
      <c r="AA35" s="48"/>
    </row>
    <row r="36" spans="1:27" ht="18.75" customHeight="1" x14ac:dyDescent="0.2">
      <c r="A36" s="175" t="s">
        <v>60</v>
      </c>
      <c r="B36" s="178" t="b">
        <f t="shared" si="0"/>
        <v>0</v>
      </c>
      <c r="D36" s="218" t="str" cm="1">
        <f t="array" ref="D36">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(PRICING[SKU]=$A36)*
            (
                ((PRICING[Rebate $]&lt;&gt;"")*(PRICING[Rebate $]&lt;&gt;0))
                +
                (
                    (
                        ISNUMBER(SEARCH("*Ronstar*FLO*",PRICING[Product]))+
                        ISNUMBER(SEARCH("Altus*",PRICING[Product]))+
                        ISNUMBER(SEARCH("Kontos*",PRICING[Product]))
                    )*
                    (PRICING[Min Qty]&lt;&gt;0)
                )
            )
        )
    ),
    ""
)</f>
        <v>$300.00 off on 3-5 units; $450.00 off on 6+ units</v>
      </c>
      <c r="E36" s="215" t="str">
        <f>_xlfn.XLOOKUP(A36, PRICING[SKU], PRICING[Product], "")</f>
        <v>Indemnify®</v>
      </c>
      <c r="F36" s="46" t="str">
        <f>_xlfn.XLOOKUP(A36, PRICING[SKU], PRICING[Size], "")</f>
        <v>17.1 fl oz</v>
      </c>
      <c r="G36" s="40" t="str">
        <f>IF(_xlfn.XLOOKUP(A36,PRICING[SKU],PRICING[Indication])="I","Insecticide",
 IF(_xlfn.XLOOKUP(A36,PRICING[SKU],PRICING[Indication])="H","Herbicide",
 IF(_xlfn.XLOOKUP(A36,PRICING[SKU],PRICING[Indication])="F","Fungicide",
 IF(_xlfn.XLOOKUP(A36,PRICING[SKU],PRICING[Indication])="PGR","PGR",""))))</f>
        <v>Fungicide</v>
      </c>
      <c r="H36" s="47"/>
      <c r="I36" s="41">
        <f>INDEX(PRICING[2026 In-Season Price],MATCH(A36,PRICING[SKU],0))</f>
        <v>1250.43</v>
      </c>
      <c r="J36" s="42" t="str">
        <f t="shared" si="1"/>
        <v/>
      </c>
      <c r="K36" s="42">
        <f>INDEX(PRICING[NOW Price],MATCH(A36,PRICING[SKU],0))</f>
        <v>1250.43</v>
      </c>
      <c r="L36" s="42" t="str">
        <f t="shared" si="2"/>
        <v/>
      </c>
      <c r="M36" s="43">
        <f>INDEX(Rebate_Lookup[Instances],MATCH(A36,Rebate_Lookup[SKU CODE],0))</f>
        <v>3</v>
      </c>
      <c r="N36" s="43" t="str">
        <f>IF(H36="","",INDEX(Rebate_Lookup[Qualified Rebate Tier],MATCH(A36,Rebate_Lookup[SKU CODE],0)))</f>
        <v/>
      </c>
      <c r="O36" s="42" t="str">
        <f>IF(OR(H36="",N36=""),"",
IF(N36=1,INDEX(Rebate_Lookup[REB_MOQ_1],MATCH(A36,Rebate_Lookup[SKU CODE],0)),
IF(N36=2,INDEX(Rebate_Lookup[REB_MOQ_2],MATCH(A36,Rebate_Lookup[SKU CODE],0)),
IF(N36=3,INDEX(Rebate_Lookup[REB_MOQ_3],MATCH(A36,Rebate_Lookup[SKU CODE],0)),
IF(N36=4,INDEX(Rebate_Lookup[REB_MOQ_4],MATCH(A36,Rebate_Lookup[SKU CODE],0)),
"#err")))))</f>
        <v/>
      </c>
      <c r="P36" s="44" t="str">
        <f>IF(L68&gt;5000,IF(OR(O36=0,O36=""),"",H36*O36),"")</f>
        <v/>
      </c>
      <c r="Q36" s="44" t="str">
        <f>IF(
    H36&gt;0,
    IF(
        OR(
            AND(ISNUMBER(SEARCH("Specticle",E36)),ISNUMBER(SEARCH("FLO",E36))),
            AND(ISNUMBER(SEARCH("Ronstar",E36)),ISNUMBER(SEARCH("FLO",E36)))
        ),
        IF(
            AND(_xlfn.XLOOKUP(A36,PRICING[SKU],PRICING[October Bonus],FALSE),$R$10="YES"),
            ROUND(L36*$G$113,2),
            "N/A"
        ),
        IFERROR(
            IF(
                _xlfn.XLOOKUP(A36,PRICING[SKU],PRICING[October Bonus],FALSE),
                ROUND(L36*SUM($G$109:$G$113),2),
                ROUND(L36*SUM($G$109:$G$112),2)
            ),
            ""
        )
    ),
    ""
)</f>
        <v/>
      </c>
      <c r="R36" s="42" t="str">
        <f t="shared" si="3"/>
        <v/>
      </c>
      <c r="S36" s="203" t="str">
        <f t="shared" si="4"/>
        <v/>
      </c>
      <c r="T36" s="204" cm="1">
        <f t="array" ref="T36">IF(OR(H36="",H36=0),
ROUND(_xlfn.XLOOKUP(1,(PRICING[SKU]=A36)*(PRICING[Set]=1),PRICING[Standard Use Rate (oz/M)]),2),ROUND(
_xlfn.XLOOKUP(
1,
(PRICING[SKU]=A36)*
(PRICING[Set]=IF(
_xlfn.XLOOKUP(A36,Rebate_Lookup[SKU CODE],Rebate_Lookup[MOQ_2])=0,
1,
IF(
AND(
_xlfn.XLOOKUP(A36,Rebate_Lookup[SKU CODE],Rebate_Lookup[MOQ_3])=0,
H36&gt;=_xlfn.XLOOKUP(A36,Rebate_Lookup[SKU CODE],Rebate_Lookup[MOQ_2])
),
2,
IF(
AND(
H36&gt;=_xlfn.XLOOKUP(A36,Rebate_Lookup[SKU CODE],Rebate_Lookup[MOQ_1]),
H36&lt;_xlfn.XLOOKUP(A36,Rebate_Lookup[SKU CODE],Rebate_Lookup[MOQ_2])
),
1,
IF(
AND(
H36&gt;=_xlfn.XLOOKUP(A36,Rebate_Lookup[SKU CODE],Rebate_Lookup[MOQ_2]),
OR(
_xlfn.XLOOKUP(A36,Rebate_Lookup[SKU CODE],Rebate_Lookup[MOQ_3])=0,
H36&lt;_xlfn.XLOOKUP(A36,Rebate_Lookup[SKU CODE],Rebate_Lookup[MOQ_3])
)
),
2,
IF(
OR(
AND(
_xlfn.XLOOKUP(A36,Rebate_Lookup[SKU CODE],Rebate_Lookup[MOQ_4])=0,
H36&gt;=_xlfn.XLOOKUP(A36,Rebate_Lookup[SKU CODE],Rebate_Lookup[MOQ_3])
),
AND(
_xlfn.XLOOKUP(A36,Rebate_Lookup[SKU CODE],Rebate_Lookup[MOQ_4])&gt;0,
H36&gt;=_xlfn.XLOOKUP(A36,Rebate_Lookup[SKU CODE],Rebate_Lookup[MOQ_3]),
H36&lt;_xlfn.XLOOKUP(A36,Rebate_Lookup[SKU CODE],Rebate_Lookup[MOQ_4])
)
),
3,
IF(
AND(
_xlfn.XLOOKUP(A36,Rebate_Lookup[SKU CODE],Rebate_Lookup[MOQ_4])&gt;0,
H36&gt;=_xlfn.XLOOKUP(A36,Rebate_Lookup[SKU CODE],Rebate_Lookup[MOQ_4])
),
4,
1
)
)
)
)
)
)),
PRICING[Standard Use Rate (oz/M)]
),
2
))</f>
        <v>0.39</v>
      </c>
      <c r="U36" s="117">
        <f t="shared" si="5"/>
        <v>16.989999999999998</v>
      </c>
      <c r="V36" s="45" t="str">
        <f>IF(AND(TRIM(U36)&lt;&gt;"",TRIM(H36)&lt;&gt;""),ROUND(H36*INDEX(PRICING[Package Ounces],MATCH(A36,PRICING[SKU],0))/U36,2),"")</f>
        <v/>
      </c>
      <c r="W36" s="222">
        <f t="shared" si="6"/>
        <v>0</v>
      </c>
      <c r="X36" s="221">
        <f t="shared" si="7"/>
        <v>0</v>
      </c>
      <c r="AA36" s="48"/>
    </row>
    <row r="37" spans="1:27" ht="18.75" customHeight="1" x14ac:dyDescent="0.2">
      <c r="A37" s="175">
        <v>81701245</v>
      </c>
      <c r="B37" s="178" t="b">
        <f t="shared" si="0"/>
        <v>0</v>
      </c>
      <c r="D37" s="218" t="str" cm="1">
        <f t="array" ref="D37">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(PRICING[SKU]=$A37)*
            (
                ((PRICING[Rebate $]&lt;&gt;"")*(PRICING[Rebate $]&lt;&gt;0))
                +
                (
                    (
                        ISNUMBER(SEARCH("*Ronstar*FLO*",PRICING[Product]))+
                        ISNUMBER(SEARCH("Altus*",PRICING[Product]))+
                        ISNUMBER(SEARCH("Kontos*",PRICING[Product]))
                    )*
                    (PRICING[Min Qty]&lt;&gt;0)
                )
            )
        )
    ),
    ""
)</f>
        <v>$75.00 off on 6+ units</v>
      </c>
      <c r="E37" s="215" t="str">
        <f>_xlfn.XLOOKUP(A37, PRICING[SKU], PRICING[Product], "")</f>
        <v>Interface® Stressgard®</v>
      </c>
      <c r="F37" s="46" t="str">
        <f>_xlfn.XLOOKUP(A37, PRICING[SKU], PRICING[Size], "")</f>
        <v>2.5 gal</v>
      </c>
      <c r="G37" s="40" t="str">
        <f>IF(_xlfn.XLOOKUP(A37,PRICING[SKU],PRICING[Indication])="I","Insecticide",
 IF(_xlfn.XLOOKUP(A37,PRICING[SKU],PRICING[Indication])="H","Herbicide",
 IF(_xlfn.XLOOKUP(A37,PRICING[SKU],PRICING[Indication])="F","Fungicide",
 IF(_xlfn.XLOOKUP(A37,PRICING[SKU],PRICING[Indication])="PGR","PGR",""))))</f>
        <v>Fungicide</v>
      </c>
      <c r="H37" s="47"/>
      <c r="I37" s="41">
        <f>INDEX(PRICING[2026 In-Season Price],MATCH(A37,PRICING[SKU],0))</f>
        <v>598.4</v>
      </c>
      <c r="J37" s="42" t="str">
        <f t="shared" si="1"/>
        <v/>
      </c>
      <c r="K37" s="42">
        <f>INDEX(PRICING[NOW Price],MATCH(A37,PRICING[SKU],0))</f>
        <v>598.4</v>
      </c>
      <c r="L37" s="42" t="str">
        <f t="shared" si="2"/>
        <v/>
      </c>
      <c r="M37" s="43">
        <f>INDEX(Rebate_Lookup[Instances],MATCH(A37,Rebate_Lookup[SKU CODE],0))</f>
        <v>2</v>
      </c>
      <c r="N37" s="43" t="str">
        <f>IF(H37="","",INDEX(Rebate_Lookup[Qualified Rebate Tier],MATCH(A37,Rebate_Lookup[SKU CODE],0)))</f>
        <v/>
      </c>
      <c r="O37" s="42" t="str">
        <f>IF(OR(H37="",N37=""),"",
IF(N37=1,INDEX(Rebate_Lookup[REB_MOQ_1],MATCH(A37,Rebate_Lookup[SKU CODE],0)),
IF(N37=2,INDEX(Rebate_Lookup[REB_MOQ_2],MATCH(A37,Rebate_Lookup[SKU CODE],0)),
IF(N37=3,INDEX(Rebate_Lookup[REB_MOQ_3],MATCH(A37,Rebate_Lookup[SKU CODE],0)),
IF(N37=4,INDEX(Rebate_Lookup[REB_MOQ_4],MATCH(A37,Rebate_Lookup[SKU CODE],0)),
"#err")))))</f>
        <v/>
      </c>
      <c r="P37" s="44" t="str">
        <f>IF(L68&gt;5000,IF(OR(O37=0,O37=""),"",H37*O37),"")</f>
        <v/>
      </c>
      <c r="Q37" s="44" t="str">
        <f>IF(
    H37&gt;0,
    IF(
        OR(
            AND(ISNUMBER(SEARCH("Specticle",E37)),ISNUMBER(SEARCH("FLO",E37))),
            AND(ISNUMBER(SEARCH("Ronstar",E37)),ISNUMBER(SEARCH("FLO",E37)))
        ),
        IF(
            AND(_xlfn.XLOOKUP(A37,PRICING[SKU],PRICING[October Bonus],FALSE),$R$10="YES"),
            ROUND(L37*$G$113,2),
            "N/A"
        ),
        IFERROR(
            IF(
                _xlfn.XLOOKUP(A37,PRICING[SKU],PRICING[October Bonus],FALSE),
                ROUND(L37*SUM($G$109:$G$113),2),
                ROUND(L37*SUM($G$109:$G$112),2)
            ),
            ""
        )
    ),
    ""
)</f>
        <v/>
      </c>
      <c r="R37" s="42" t="str">
        <f t="shared" si="3"/>
        <v/>
      </c>
      <c r="S37" s="203" t="str">
        <f t="shared" si="4"/>
        <v/>
      </c>
      <c r="T37" s="204" cm="1">
        <f t="array" ref="T37">IF(OR(H37="",H37=0),
ROUND(_xlfn.XLOOKUP(1,(PRICING[SKU]=A37)*(PRICING[Set]=1),PRICING[Standard Use Rate (oz/M)]),2),ROUND(
_xlfn.XLOOKUP(
1,
(PRICING[SKU]=A37)*
(PRICING[Set]=IF(
_xlfn.XLOOKUP(A37,Rebate_Lookup[SKU CODE],Rebate_Lookup[MOQ_2])=0,
1,
IF(
AND(
_xlfn.XLOOKUP(A37,Rebate_Lookup[SKU CODE],Rebate_Lookup[MOQ_3])=0,
H37&gt;=_xlfn.XLOOKUP(A37,Rebate_Lookup[SKU CODE],Rebate_Lookup[MOQ_2])
),
2,
IF(
AND(
H37&gt;=_xlfn.XLOOKUP(A37,Rebate_Lookup[SKU CODE],Rebate_Lookup[MOQ_1]),
H37&lt;_xlfn.XLOOKUP(A37,Rebate_Lookup[SKU CODE],Rebate_Lookup[MOQ_2])
),
1,
IF(
AND(
H37&gt;=_xlfn.XLOOKUP(A37,Rebate_Lookup[SKU CODE],Rebate_Lookup[MOQ_2]),
OR(
_xlfn.XLOOKUP(A37,Rebate_Lookup[SKU CODE],Rebate_Lookup[MOQ_3])=0,
H37&lt;_xlfn.XLOOKUP(A37,Rebate_Lookup[SKU CODE],Rebate_Lookup[MOQ_3])
)
),
2,
IF(
OR(
AND(
_xlfn.XLOOKUP(A37,Rebate_Lookup[SKU CODE],Rebate_Lookup[MOQ_4])=0,
H37&gt;=_xlfn.XLOOKUP(A37,Rebate_Lookup[SKU CODE],Rebate_Lookup[MOQ_3])
),
AND(
_xlfn.XLOOKUP(A37,Rebate_Lookup[SKU CODE],Rebate_Lookup[MOQ_4])&gt;0,
H37&gt;=_xlfn.XLOOKUP(A37,Rebate_Lookup[SKU CODE],Rebate_Lookup[MOQ_3]),
H37&lt;_xlfn.XLOOKUP(A37,Rebate_Lookup[SKU CODE],Rebate_Lookup[MOQ_4])
)
),
3,
IF(
AND(
_xlfn.XLOOKUP(A37,Rebate_Lookup[SKU CODE],Rebate_Lookup[MOQ_4])&gt;0,
H37&gt;=_xlfn.XLOOKUP(A37,Rebate_Lookup[SKU CODE],Rebate_Lookup[MOQ_4])
),
4,
1
)
)
)
)
)
)),
PRICING[Standard Use Rate (oz/M)]
),
2
))</f>
        <v>4</v>
      </c>
      <c r="U37" s="117">
        <f t="shared" si="5"/>
        <v>174.24</v>
      </c>
      <c r="V37" s="45" t="str">
        <f>IF(AND(TRIM(U37)&lt;&gt;"",TRIM(H37)&lt;&gt;""),ROUND(H37*INDEX(PRICING[Package Ounces],MATCH(A37,PRICING[SKU],0))/U37,2),"")</f>
        <v/>
      </c>
      <c r="W37" s="222">
        <f t="shared" si="6"/>
        <v>0</v>
      </c>
      <c r="X37" s="221">
        <f t="shared" si="7"/>
        <v>0</v>
      </c>
      <c r="AA37" s="48"/>
    </row>
    <row r="38" spans="1:27" ht="18.75" customHeight="1" x14ac:dyDescent="0.2">
      <c r="A38" s="175">
        <v>11013671</v>
      </c>
      <c r="B38" s="178" t="b">
        <f t="shared" si="0"/>
        <v>0</v>
      </c>
      <c r="D38" s="218" t="str" cm="1">
        <f t="array" ref="D38">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(PRICING[SKU]=$A38)*
            (
                ((PRICING[Rebate $]&lt;&gt;"")*(PRICING[Rebate $]&lt;&gt;0))
                +
                (
                    (
                        ISNUMBER(SEARCH("*Ronstar*FLO*",PRICING[Product]))+
                        ISNUMBER(SEARCH("Altus*",PRICING[Product]))+
                        ISNUMBER(SEARCH("Kontos*",PRICING[Product]))
                    )*
                    (PRICING[Min Qty]&lt;&gt;0)
                )
            )
        )
    ),
    ""
)</f>
        <v>$325.00 off on 4+ units</v>
      </c>
      <c r="E38" s="215" t="str">
        <f>_xlfn.XLOOKUP(A38, PRICING[SKU], PRICING[Product], "")</f>
        <v xml:space="preserve">Kalida® Fungicide </v>
      </c>
      <c r="F38" s="46" t="str">
        <f>_xlfn.XLOOKUP(A38, PRICING[SKU], PRICING[Size], "")</f>
        <v>64 oz</v>
      </c>
      <c r="G38" s="40" t="str">
        <f>IF(_xlfn.XLOOKUP(A38,PRICING[SKU],PRICING[Indication])="I","Insecticide",
 IF(_xlfn.XLOOKUP(A38,PRICING[SKU],PRICING[Indication])="H","Herbicide",
 IF(_xlfn.XLOOKUP(A38,PRICING[SKU],PRICING[Indication])="F","Fungicide",
 IF(_xlfn.XLOOKUP(A38,PRICING[SKU],PRICING[Indication])="PGR","PGR",""))))</f>
        <v>Fungicide</v>
      </c>
      <c r="H38" s="47"/>
      <c r="I38" s="41">
        <f>INDEX(PRICING[2026 In-Season Price],MATCH(A38,PRICING[SKU],0))</f>
        <v>924.16</v>
      </c>
      <c r="J38" s="42" t="str">
        <f t="shared" si="1"/>
        <v/>
      </c>
      <c r="K38" s="42">
        <f>INDEX(PRICING[NOW Price],MATCH(A38,PRICING[SKU],0))</f>
        <v>924.16</v>
      </c>
      <c r="L38" s="42" t="str">
        <f t="shared" si="2"/>
        <v/>
      </c>
      <c r="M38" s="43">
        <f>INDEX(Rebate_Lookup[Instances],MATCH(A38,Rebate_Lookup[SKU CODE],0))</f>
        <v>2</v>
      </c>
      <c r="N38" s="43" t="str">
        <f>IF(H38="","",INDEX(Rebate_Lookup[Qualified Rebate Tier],MATCH(A38,Rebate_Lookup[SKU CODE],0)))</f>
        <v/>
      </c>
      <c r="O38" s="42" t="str">
        <f>IF(OR(H38="",N38=""),"",
IF(N38=1,INDEX(Rebate_Lookup[REB_MOQ_1],MATCH(A38,Rebate_Lookup[SKU CODE],0)),
IF(N38=2,INDEX(Rebate_Lookup[REB_MOQ_2],MATCH(A38,Rebate_Lookup[SKU CODE],0)),
IF(N38=3,INDEX(Rebate_Lookup[REB_MOQ_3],MATCH(A38,Rebate_Lookup[SKU CODE],0)),
IF(N38=4,INDEX(Rebate_Lookup[REB_MOQ_4],MATCH(A38,Rebate_Lookup[SKU CODE],0)),
"#err")))))</f>
        <v/>
      </c>
      <c r="P38" s="44" t="str">
        <f>IF(L68&gt;5000,IF(OR(O38=0,O38=""),"",H38*O38),"")</f>
        <v/>
      </c>
      <c r="Q38" s="44" t="str">
        <f>IF(
    H38&gt;0,
    IF(
        OR(
            AND(ISNUMBER(SEARCH("Specticle",E38)),ISNUMBER(SEARCH("FLO",E38))),
            AND(ISNUMBER(SEARCH("Ronstar",E38)),ISNUMBER(SEARCH("FLO",E38)))
        ),
        IF(
            AND(_xlfn.XLOOKUP(A38,PRICING[SKU],PRICING[October Bonus],FALSE),$R$10="YES"),
            ROUND(L38*$G$113,2),
            "N/A"
        ),
        IFERROR(
            IF(
                _xlfn.XLOOKUP(A38,PRICING[SKU],PRICING[October Bonus],FALSE),
                ROUND(L38*SUM($G$109:$G$113),2),
                ROUND(L38*SUM($G$109:$G$112),2)
            ),
            ""
        )
    ),
    ""
)</f>
        <v/>
      </c>
      <c r="R38" s="42" t="str">
        <f t="shared" si="3"/>
        <v/>
      </c>
      <c r="S38" s="203" t="str">
        <f t="shared" si="4"/>
        <v/>
      </c>
      <c r="T38" s="204" cm="1">
        <f t="array" ref="T38">IF(OR(H38="",H38=0),
ROUND(_xlfn.XLOOKUP(1,(PRICING[SKU]=A38)*(PRICING[Set]=1),PRICING[Standard Use Rate (oz/M)]),2),ROUND(
_xlfn.XLOOKUP(
1,
(PRICING[SKU]=A38)*
(PRICING[Set]=IF(
_xlfn.XLOOKUP(A38,Rebate_Lookup[SKU CODE],Rebate_Lookup[MOQ_2])=0,
1,
IF(
AND(
_xlfn.XLOOKUP(A38,Rebate_Lookup[SKU CODE],Rebate_Lookup[MOQ_3])=0,
H38&gt;=_xlfn.XLOOKUP(A38,Rebate_Lookup[SKU CODE],Rebate_Lookup[MOQ_2])
),
2,
IF(
AND(
H38&gt;=_xlfn.XLOOKUP(A38,Rebate_Lookup[SKU CODE],Rebate_Lookup[MOQ_1]),
H38&lt;_xlfn.XLOOKUP(A38,Rebate_Lookup[SKU CODE],Rebate_Lookup[MOQ_2])
),
1,
IF(
AND(
H38&gt;=_xlfn.XLOOKUP(A38,Rebate_Lookup[SKU CODE],Rebate_Lookup[MOQ_2]),
OR(
_xlfn.XLOOKUP(A38,Rebate_Lookup[SKU CODE],Rebate_Lookup[MOQ_3])=0,
H38&lt;_xlfn.XLOOKUP(A38,Rebate_Lookup[SKU CODE],Rebate_Lookup[MOQ_3])
)
),
2,
IF(
OR(
AND(
_xlfn.XLOOKUP(A38,Rebate_Lookup[SKU CODE],Rebate_Lookup[MOQ_4])=0,
H38&gt;=_xlfn.XLOOKUP(A38,Rebate_Lookup[SKU CODE],Rebate_Lookup[MOQ_3])
),
AND(
_xlfn.XLOOKUP(A38,Rebate_Lookup[SKU CODE],Rebate_Lookup[MOQ_4])&gt;0,
H38&gt;=_xlfn.XLOOKUP(A38,Rebate_Lookup[SKU CODE],Rebate_Lookup[MOQ_3]),
H38&lt;_xlfn.XLOOKUP(A38,Rebate_Lookup[SKU CODE],Rebate_Lookup[MOQ_4])
)
),
3,
IF(
AND(
_xlfn.XLOOKUP(A38,Rebate_Lookup[SKU CODE],Rebate_Lookup[MOQ_4])&gt;0,
H38&gt;=_xlfn.XLOOKUP(A38,Rebate_Lookup[SKU CODE],Rebate_Lookup[MOQ_4])
),
4,
1
)
)
)
)
)
)),
PRICING[Standard Use Rate (oz/M)]
),
2
))</f>
        <v>0.4</v>
      </c>
      <c r="U38" s="117">
        <f t="shared" si="5"/>
        <v>17.420000000000002</v>
      </c>
      <c r="V38" s="45" t="str">
        <f>IF(AND(TRIM(U38)&lt;&gt;"",TRIM(H38)&lt;&gt;""),ROUND(H38*INDEX(PRICING[Package Ounces],MATCH(A38,PRICING[SKU],0))/U38,2),"")</f>
        <v/>
      </c>
      <c r="W38" s="222">
        <f t="shared" si="6"/>
        <v>0</v>
      </c>
      <c r="X38" s="221">
        <f t="shared" si="7"/>
        <v>0</v>
      </c>
      <c r="AA38" s="48"/>
    </row>
    <row r="39" spans="1:27" ht="18.75" customHeight="1" x14ac:dyDescent="0.2">
      <c r="A39" s="175" t="s">
        <v>61</v>
      </c>
      <c r="B39" s="178" t="b">
        <f t="shared" si="0"/>
        <v>0</v>
      </c>
      <c r="D39" s="218" t="str" cm="1">
        <f t="array" ref="D39">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(PRICING[SKU]=$A39)*
            (
                ((PRICING[Rebate $]&lt;&gt;"")*(PRICING[Rebate $]&lt;&gt;0))
                +
                (
                    (
                        ISNUMBER(SEARCH("*Ronstar*FLO*",PRICING[Product]))+
                        ISNUMBER(SEARCH("Altus*",PRICING[Product]))+
                        ISNUMBER(SEARCH("Kontos*",PRICING[Product]))
                    )*
                    (PRICING[Min Qty]&lt;&gt;0)
                )
            )
        )
    ),
    ""
)</f>
        <v/>
      </c>
      <c r="E39" s="215" t="str">
        <f>_xlfn.XLOOKUP(A39, PRICING[SKU], PRICING[Product], "")</f>
        <v>Kontos®</v>
      </c>
      <c r="F39" s="46" t="str">
        <f>_xlfn.XLOOKUP(A39, PRICING[SKU], PRICING[Size], "")</f>
        <v>250 ml</v>
      </c>
      <c r="G39" s="40" t="str">
        <f>IF(_xlfn.XLOOKUP(A39,PRICING[SKU],PRICING[Indication])="I","Insecticide",
 IF(_xlfn.XLOOKUP(A39,PRICING[SKU],PRICING[Indication])="H","Herbicide",
 IF(_xlfn.XLOOKUP(A39,PRICING[SKU],PRICING[Indication])="F","Fungicide",
 IF(_xlfn.XLOOKUP(A39,PRICING[SKU],PRICING[Indication])="PGR","PGR",""))))</f>
        <v>Insecticide</v>
      </c>
      <c r="H39" s="47"/>
      <c r="I39" s="41">
        <f>INDEX(PRICING[2026 In-Season Price],MATCH(A39,PRICING[SKU],0))</f>
        <v>235</v>
      </c>
      <c r="J39" s="42" t="str">
        <f t="shared" si="1"/>
        <v/>
      </c>
      <c r="K39" s="42">
        <f>INDEX(PRICING[NOW Price],MATCH(A39,PRICING[SKU],0))</f>
        <v>235</v>
      </c>
      <c r="L39" s="42" t="str">
        <f t="shared" si="2"/>
        <v/>
      </c>
      <c r="M39" s="43">
        <f>INDEX(Rebate_Lookup[Instances],MATCH(A39,Rebate_Lookup[SKU CODE],0))</f>
        <v>1</v>
      </c>
      <c r="N39" s="43" t="str">
        <f>IF(H39="","",INDEX(Rebate_Lookup[Qualified Rebate Tier],MATCH(A39,Rebate_Lookup[SKU CODE],0)))</f>
        <v/>
      </c>
      <c r="O39" s="42" t="str">
        <f>IF(OR(H39="",N39=""),"",
IF(N39=1,INDEX(Rebate_Lookup[REB_MOQ_1],MATCH(A39,Rebate_Lookup[SKU CODE],0)),
IF(N39=2,INDEX(Rebate_Lookup[REB_MOQ_2],MATCH(A39,Rebate_Lookup[SKU CODE],0)),
IF(N39=3,INDEX(Rebate_Lookup[REB_MOQ_3],MATCH(A39,Rebate_Lookup[SKU CODE],0)),
IF(N39=4,INDEX(Rebate_Lookup[REB_MOQ_4],MATCH(A39,Rebate_Lookup[SKU CODE],0)),
"#err")))))</f>
        <v/>
      </c>
      <c r="P39" s="44" t="str">
        <f>IF(L68&gt;5000,IF(OR(O39=0,O39=""),"",H39*O39),"")</f>
        <v/>
      </c>
      <c r="Q39" s="44" t="str">
        <f>IF(
    H39&gt;0,
    IF(
        OR(
            AND(ISNUMBER(SEARCH("Specticle",E39)),ISNUMBER(SEARCH("FLO",E39))),
            AND(ISNUMBER(SEARCH("Ronstar",E39)),ISNUMBER(SEARCH("FLO",E39)))
        ),
        IF(
            AND(_xlfn.XLOOKUP(A39,PRICING[SKU],PRICING[October Bonus],FALSE),$R$10="YES"),
            ROUND(L39*$G$113,2),
            "N/A"
        ),
        IFERROR(
            IF(
                _xlfn.XLOOKUP(A39,PRICING[SKU],PRICING[October Bonus],FALSE),
                ROUND(L39*SUM($G$109:$G$113),2),
                ROUND(L39*SUM($G$109:$G$112),2)
            ),
            ""
        )
    ),
    ""
)</f>
        <v/>
      </c>
      <c r="R39" s="42" t="str">
        <f t="shared" si="3"/>
        <v/>
      </c>
      <c r="S39" s="203" t="str">
        <f t="shared" si="4"/>
        <v/>
      </c>
      <c r="T39" s="204" cm="1">
        <f t="array" ref="T39">IF(OR(H39="",H39=0),
ROUND(_xlfn.XLOOKUP(1,(PRICING[SKU]=A39)*(PRICING[Set]=1),PRICING[Standard Use Rate (oz/M)]),2),ROUND(
_xlfn.XLOOKUP(
1,
(PRICING[SKU]=A39)*
(PRICING[Set]=IF(
_xlfn.XLOOKUP(A39,Rebate_Lookup[SKU CODE],Rebate_Lookup[MOQ_2])=0,
1,
IF(
AND(
_xlfn.XLOOKUP(A39,Rebate_Lookup[SKU CODE],Rebate_Lookup[MOQ_3])=0,
H39&gt;=_xlfn.XLOOKUP(A39,Rebate_Lookup[SKU CODE],Rebate_Lookup[MOQ_2])
),
2,
IF(
AND(
H39&gt;=_xlfn.XLOOKUP(A39,Rebate_Lookup[SKU CODE],Rebate_Lookup[MOQ_1]),
H39&lt;_xlfn.XLOOKUP(A39,Rebate_Lookup[SKU CODE],Rebate_Lookup[MOQ_2])
),
1,
IF(
AND(
H39&gt;=_xlfn.XLOOKUP(A39,Rebate_Lookup[SKU CODE],Rebate_Lookup[MOQ_2]),
OR(
_xlfn.XLOOKUP(A39,Rebate_Lookup[SKU CODE],Rebate_Lookup[MOQ_3])=0,
H39&lt;_xlfn.XLOOKUP(A39,Rebate_Lookup[SKU CODE],Rebate_Lookup[MOQ_3])
)
),
2,
IF(
OR(
AND(
_xlfn.XLOOKUP(A39,Rebate_Lookup[SKU CODE],Rebate_Lookup[MOQ_4])=0,
H39&gt;=_xlfn.XLOOKUP(A39,Rebate_Lookup[SKU CODE],Rebate_Lookup[MOQ_3])
),
AND(
_xlfn.XLOOKUP(A39,Rebate_Lookup[SKU CODE],Rebate_Lookup[MOQ_4])&gt;0,
H39&gt;=_xlfn.XLOOKUP(A39,Rebate_Lookup[SKU CODE],Rebate_Lookup[MOQ_3]),
H39&lt;_xlfn.XLOOKUP(A39,Rebate_Lookup[SKU CODE],Rebate_Lookup[MOQ_4])
)
),
3,
IF(
AND(
_xlfn.XLOOKUP(A39,Rebate_Lookup[SKU CODE],Rebate_Lookup[MOQ_4])&gt;0,
H39&gt;=_xlfn.XLOOKUP(A39,Rebate_Lookup[SKU CODE],Rebate_Lookup[MOQ_4])
),
4,
1
)
)
)
)
)
)),
PRICING[Standard Use Rate (oz/M)]
),
2
))</f>
        <v>0.11</v>
      </c>
      <c r="U39" s="117">
        <f t="shared" si="5"/>
        <v>4.79</v>
      </c>
      <c r="V39" s="45" t="str">
        <f>IF(AND(TRIM(U39)&lt;&gt;"",TRIM(H39)&lt;&gt;""),ROUND(H39*INDEX(PRICING[Package Ounces],MATCH(A39,PRICING[SKU],0))/U39,2),"")</f>
        <v/>
      </c>
      <c r="W39" s="222">
        <f t="shared" si="6"/>
        <v>0</v>
      </c>
      <c r="X39" s="221">
        <f t="shared" si="7"/>
        <v>0</v>
      </c>
      <c r="AA39" s="48"/>
    </row>
    <row r="40" spans="1:27" ht="18.75" customHeight="1" x14ac:dyDescent="0.2">
      <c r="A40" s="175" t="s">
        <v>62</v>
      </c>
      <c r="B40" s="178" t="b">
        <f t="shared" si="0"/>
        <v>0</v>
      </c>
      <c r="D40" s="218" t="str" cm="1">
        <f t="array" ref="D40">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(PRICING[SKU]=$A40)*
            (
                ((PRICING[Rebate $]&lt;&gt;"")*(PRICING[Rebate $]&lt;&gt;0))
                +
                (
                    (
                        ISNUMBER(SEARCH("*Ronstar*FLO*",PRICING[Product]))+
                        ISNUMBER(SEARCH("Altus*",PRICING[Product]))+
                        ISNUMBER(SEARCH("Kontos*",PRICING[Product]))
                    )*
                    (PRICING[Min Qty]&lt;&gt;0)
                )
            )
        )
    ),
    ""
)</f>
        <v>1-3 units</v>
      </c>
      <c r="E40" s="215" t="str">
        <f>_xlfn.XLOOKUP(A40, PRICING[SKU], PRICING[Product], "")</f>
        <v>Kontos®</v>
      </c>
      <c r="F40" s="46" t="str">
        <f>_xlfn.XLOOKUP(A40, PRICING[SKU], PRICING[Size], "")</f>
        <v>1 qt</v>
      </c>
      <c r="G40" s="40" t="str">
        <f>IF(_xlfn.XLOOKUP(A40,PRICING[SKU],PRICING[Indication])="I","Insecticide",
 IF(_xlfn.XLOOKUP(A40,PRICING[SKU],PRICING[Indication])="H","Herbicide",
 IF(_xlfn.XLOOKUP(A40,PRICING[SKU],PRICING[Indication])="F","Fungicide",
 IF(_xlfn.XLOOKUP(A40,PRICING[SKU],PRICING[Indication])="PGR","PGR",""))))</f>
        <v>Insecticide</v>
      </c>
      <c r="H40" s="47"/>
      <c r="I40" s="41">
        <f>INDEX(PRICING[2026 In-Season Price],MATCH(A40,PRICING[SKU],0))</f>
        <v>777.92</v>
      </c>
      <c r="J40" s="42" t="str">
        <f t="shared" si="1"/>
        <v/>
      </c>
      <c r="K40" s="42">
        <f>INDEX(PRICING[NOW Price],MATCH(A40,PRICING[SKU],0))</f>
        <v>777.92</v>
      </c>
      <c r="L40" s="42" t="str">
        <f t="shared" si="2"/>
        <v/>
      </c>
      <c r="M40" s="43">
        <f>INDEX(Rebate_Lookup[Instances],MATCH(A40,Rebate_Lookup[SKU CODE],0))</f>
        <v>1</v>
      </c>
      <c r="N40" s="43" t="str">
        <f>IF(H40="","",INDEX(Rebate_Lookup[Qualified Rebate Tier],MATCH(A40,Rebate_Lookup[SKU CODE],0)))</f>
        <v/>
      </c>
      <c r="O40" s="42" t="str">
        <f>IF(OR(H40="",N40=""),"",
IF(N40=1,INDEX(Rebate_Lookup[REB_MOQ_1],MATCH(A40,Rebate_Lookup[SKU CODE],0)),
IF(N40=2,INDEX(Rebate_Lookup[REB_MOQ_2],MATCH(A40,Rebate_Lookup[SKU CODE],0)),
IF(N40=3,INDEX(Rebate_Lookup[REB_MOQ_3],MATCH(A40,Rebate_Lookup[SKU CODE],0)),
IF(N40=4,INDEX(Rebate_Lookup[REB_MOQ_4],MATCH(A40,Rebate_Lookup[SKU CODE],0)),
"#err")))))</f>
        <v/>
      </c>
      <c r="P40" s="44" t="str">
        <f>IF(L68&gt;5000,IF(OR(O40=0,O40=""),"",H40*O40),"")</f>
        <v/>
      </c>
      <c r="Q40" s="44" t="str">
        <f>IF(
    H40&gt;0,
    IF(
        OR(
            AND(ISNUMBER(SEARCH("Specticle",E40)),ISNUMBER(SEARCH("FLO",E40))),
            AND(ISNUMBER(SEARCH("Ronstar",E40)),ISNUMBER(SEARCH("FLO",E40)))
        ),
        IF(
            AND(_xlfn.XLOOKUP(A40,PRICING[SKU],PRICING[October Bonus],FALSE),$R$10="YES"),
            ROUND(L40*$G$113,2),
            "N/A"
        ),
        IFERROR(
            IF(
                _xlfn.XLOOKUP(A40,PRICING[SKU],PRICING[October Bonus],FALSE),
                ROUND(L40*SUM($G$109:$G$113),2),
                ROUND(L40*SUM($G$109:$G$112),2)
            ),
            ""
        )
    ),
    ""
)</f>
        <v/>
      </c>
      <c r="R40" s="42" t="str">
        <f t="shared" si="3"/>
        <v/>
      </c>
      <c r="S40" s="203" t="str">
        <f t="shared" si="4"/>
        <v/>
      </c>
      <c r="T40" s="204" cm="1">
        <f t="array" ref="T40">IF(OR(H40="",H40=0),
ROUND(_xlfn.XLOOKUP(1,(PRICING[SKU]=A40)*(PRICING[Set]=1),PRICING[Standard Use Rate (oz/M)]),2),ROUND(
_xlfn.XLOOKUP(
1,
(PRICING[SKU]=A40)*
(PRICING[Set]=IF(
_xlfn.XLOOKUP(A40,Rebate_Lookup[SKU CODE],Rebate_Lookup[MOQ_2])=0,
1,
IF(
AND(
_xlfn.XLOOKUP(A40,Rebate_Lookup[SKU CODE],Rebate_Lookup[MOQ_3])=0,
H40&gt;=_xlfn.XLOOKUP(A40,Rebate_Lookup[SKU CODE],Rebate_Lookup[MOQ_2])
),
2,
IF(
AND(
H40&gt;=_xlfn.XLOOKUP(A40,Rebate_Lookup[SKU CODE],Rebate_Lookup[MOQ_1]),
H40&lt;_xlfn.XLOOKUP(A40,Rebate_Lookup[SKU CODE],Rebate_Lookup[MOQ_2])
),
1,
IF(
AND(
H40&gt;=_xlfn.XLOOKUP(A40,Rebate_Lookup[SKU CODE],Rebate_Lookup[MOQ_2]),
OR(
_xlfn.XLOOKUP(A40,Rebate_Lookup[SKU CODE],Rebate_Lookup[MOQ_3])=0,
H40&lt;_xlfn.XLOOKUP(A40,Rebate_Lookup[SKU CODE],Rebate_Lookup[MOQ_3])
)
),
2,
IF(
OR(
AND(
_xlfn.XLOOKUP(A40,Rebate_Lookup[SKU CODE],Rebate_Lookup[MOQ_4])=0,
H40&gt;=_xlfn.XLOOKUP(A40,Rebate_Lookup[SKU CODE],Rebate_Lookup[MOQ_3])
),
AND(
_xlfn.XLOOKUP(A40,Rebate_Lookup[SKU CODE],Rebate_Lookup[MOQ_4])&gt;0,
H40&gt;=_xlfn.XLOOKUP(A40,Rebate_Lookup[SKU CODE],Rebate_Lookup[MOQ_3]),
H40&lt;_xlfn.XLOOKUP(A40,Rebate_Lookup[SKU CODE],Rebate_Lookup[MOQ_4])
)
),
3,
IF(
AND(
_xlfn.XLOOKUP(A40,Rebate_Lookup[SKU CODE],Rebate_Lookup[MOQ_4])&gt;0,
H40&gt;=_xlfn.XLOOKUP(A40,Rebate_Lookup[SKU CODE],Rebate_Lookup[MOQ_4])
),
4,
1
)
)
)
)
)
)),
PRICING[Standard Use Rate (oz/M)]
),
2
))</f>
        <v>0.11</v>
      </c>
      <c r="U40" s="117">
        <f t="shared" si="5"/>
        <v>4.79</v>
      </c>
      <c r="V40" s="45" t="str">
        <f>IF(AND(TRIM(U40)&lt;&gt;"",TRIM(H40)&lt;&gt;""),ROUND(H40*INDEX(PRICING[Package Ounces],MATCH(A40,PRICING[SKU],0))/U40,2),"")</f>
        <v/>
      </c>
      <c r="W40" s="222">
        <f t="shared" si="6"/>
        <v>0</v>
      </c>
      <c r="X40" s="221">
        <f t="shared" si="7"/>
        <v>0</v>
      </c>
      <c r="AA40" s="48"/>
    </row>
    <row r="41" spans="1:27" ht="18.75" customHeight="1" x14ac:dyDescent="0.2">
      <c r="A41" s="175" t="s">
        <v>63</v>
      </c>
      <c r="B41" s="178" t="b">
        <f t="shared" si="0"/>
        <v>0</v>
      </c>
      <c r="D41" s="218" t="str" cm="1">
        <f t="array" ref="D41">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(PRICING[SKU]=$A41)*
            (
                ((PRICING[Rebate $]&lt;&gt;"")*(PRICING[Rebate $]&lt;&gt;0))
                +
                (
                    (
                        ISNUMBER(SEARCH("*Ronstar*FLO*",PRICING[Product]))+
                        ISNUMBER(SEARCH("Altus*",PRICING[Product]))+
                        ISNUMBER(SEARCH("Kontos*",PRICING[Product]))
                    )*
                    (PRICING[Min Qty]&lt;&gt;0)
                )
            )
        )
    ),
    ""
)</f>
        <v>4-15 units</v>
      </c>
      <c r="E41" s="215" t="str">
        <f>_xlfn.XLOOKUP(A41, PRICING[SKU], PRICING[Product], "")</f>
        <v>Kontos®</v>
      </c>
      <c r="F41" s="46" t="str">
        <f>_xlfn.XLOOKUP(A41, PRICING[SKU], PRICING[Size], "")</f>
        <v>1 qt</v>
      </c>
      <c r="G41" s="40" t="str">
        <f>IF(_xlfn.XLOOKUP(A41,PRICING[SKU],PRICING[Indication])="I","Insecticide",
 IF(_xlfn.XLOOKUP(A41,PRICING[SKU],PRICING[Indication])="H","Herbicide",
 IF(_xlfn.XLOOKUP(A41,PRICING[SKU],PRICING[Indication])="F","Fungicide",
 IF(_xlfn.XLOOKUP(A41,PRICING[SKU],PRICING[Indication])="PGR","PGR",""))))</f>
        <v>Insecticide</v>
      </c>
      <c r="H41" s="47"/>
      <c r="I41" s="41">
        <f>INDEX(PRICING[2026 In-Season Price],MATCH(A41,PRICING[SKU],0))</f>
        <v>777.92</v>
      </c>
      <c r="J41" s="42" t="str">
        <f t="shared" si="1"/>
        <v/>
      </c>
      <c r="K41" s="42">
        <f>INDEX(PRICING[NOW Price],MATCH(A41,PRICING[SKU],0))</f>
        <v>719.68</v>
      </c>
      <c r="L41" s="42" t="str">
        <f t="shared" si="2"/>
        <v/>
      </c>
      <c r="M41" s="43">
        <f>INDEX(Rebate_Lookup[Instances],MATCH(A41,Rebate_Lookup[SKU CODE],0))</f>
        <v>1</v>
      </c>
      <c r="N41" s="43" t="str">
        <f>IF(H41="","",INDEX(Rebate_Lookup[Qualified Rebate Tier],MATCH(A41,Rebate_Lookup[SKU CODE],0)))</f>
        <v/>
      </c>
      <c r="O41" s="42" t="str">
        <f>IF(OR(H41="",N41=""),"",
IF(N41=1,INDEX(Rebate_Lookup[REB_MOQ_1],MATCH(A41,Rebate_Lookup[SKU CODE],0)),
IF(N41=2,INDEX(Rebate_Lookup[REB_MOQ_2],MATCH(A41,Rebate_Lookup[SKU CODE],0)),
IF(N41=3,INDEX(Rebate_Lookup[REB_MOQ_3],MATCH(A41,Rebate_Lookup[SKU CODE],0)),
IF(N41=4,INDEX(Rebate_Lookup[REB_MOQ_4],MATCH(A41,Rebate_Lookup[SKU CODE],0)),
"#err")))))</f>
        <v/>
      </c>
      <c r="P41" s="44" t="str">
        <f>IF(L68&gt;5000,IF(OR(O41=0,O41=""),"",H41*O41),"")</f>
        <v/>
      </c>
      <c r="Q41" s="44" t="str">
        <f>IF(
    H41&gt;0,
    IF(
        OR(
            AND(ISNUMBER(SEARCH("Specticle",E41)),ISNUMBER(SEARCH("FLO",E41))),
            AND(ISNUMBER(SEARCH("Ronstar",E41)),ISNUMBER(SEARCH("FLO",E41)))
        ),
        IF(
            AND(_xlfn.XLOOKUP(A41,PRICING[SKU],PRICING[October Bonus],FALSE),$R$10="YES"),
            ROUND(L41*$G$113,2),
            "N/A"
        ),
        IFERROR(
            IF(
                _xlfn.XLOOKUP(A41,PRICING[SKU],PRICING[October Bonus],FALSE),
                ROUND(L41*SUM($G$109:$G$113),2),
                ROUND(L41*SUM($G$109:$G$112),2)
            ),
            ""
        )
    ),
    ""
)</f>
        <v/>
      </c>
      <c r="R41" s="42" t="str">
        <f t="shared" si="3"/>
        <v/>
      </c>
      <c r="S41" s="203" t="str">
        <f t="shared" si="4"/>
        <v/>
      </c>
      <c r="T41" s="204" cm="1">
        <f t="array" ref="T41">IF(OR(H41="",H41=0),
ROUND(_xlfn.XLOOKUP(1,(PRICING[SKU]=A41)*(PRICING[Set]=1),PRICING[Standard Use Rate (oz/M)]),2),ROUND(
_xlfn.XLOOKUP(
1,
(PRICING[SKU]=A41)*
(PRICING[Set]=IF(
_xlfn.XLOOKUP(A41,Rebate_Lookup[SKU CODE],Rebate_Lookup[MOQ_2])=0,
1,
IF(
AND(
_xlfn.XLOOKUP(A41,Rebate_Lookup[SKU CODE],Rebate_Lookup[MOQ_3])=0,
H41&gt;=_xlfn.XLOOKUP(A41,Rebate_Lookup[SKU CODE],Rebate_Lookup[MOQ_2])
),
2,
IF(
AND(
H41&gt;=_xlfn.XLOOKUP(A41,Rebate_Lookup[SKU CODE],Rebate_Lookup[MOQ_1]),
H41&lt;_xlfn.XLOOKUP(A41,Rebate_Lookup[SKU CODE],Rebate_Lookup[MOQ_2])
),
1,
IF(
AND(
H41&gt;=_xlfn.XLOOKUP(A41,Rebate_Lookup[SKU CODE],Rebate_Lookup[MOQ_2]),
OR(
_xlfn.XLOOKUP(A41,Rebate_Lookup[SKU CODE],Rebate_Lookup[MOQ_3])=0,
H41&lt;_xlfn.XLOOKUP(A41,Rebate_Lookup[SKU CODE],Rebate_Lookup[MOQ_3])
)
),
2,
IF(
OR(
AND(
_xlfn.XLOOKUP(A41,Rebate_Lookup[SKU CODE],Rebate_Lookup[MOQ_4])=0,
H41&gt;=_xlfn.XLOOKUP(A41,Rebate_Lookup[SKU CODE],Rebate_Lookup[MOQ_3])
),
AND(
_xlfn.XLOOKUP(A41,Rebate_Lookup[SKU CODE],Rebate_Lookup[MOQ_4])&gt;0,
H41&gt;=_xlfn.XLOOKUP(A41,Rebate_Lookup[SKU CODE],Rebate_Lookup[MOQ_3]),
H41&lt;_xlfn.XLOOKUP(A41,Rebate_Lookup[SKU CODE],Rebate_Lookup[MOQ_4])
)
),
3,
IF(
AND(
_xlfn.XLOOKUP(A41,Rebate_Lookup[SKU CODE],Rebate_Lookup[MOQ_4])&gt;0,
H41&gt;=_xlfn.XLOOKUP(A41,Rebate_Lookup[SKU CODE],Rebate_Lookup[MOQ_4])
),
4,
1
)
)
)
)
)
)),
PRICING[Standard Use Rate (oz/M)]
),
2
))</f>
        <v>0.11</v>
      </c>
      <c r="U41" s="117">
        <f t="shared" si="5"/>
        <v>4.79</v>
      </c>
      <c r="V41" s="45" t="str">
        <f>IF(AND(TRIM(U41)&lt;&gt;"",TRIM(H41)&lt;&gt;""),ROUND(H41*INDEX(PRICING[Package Ounces],MATCH(A41,PRICING[SKU],0))/U41,2),"")</f>
        <v/>
      </c>
      <c r="W41" s="222">
        <f t="shared" si="6"/>
        <v>0</v>
      </c>
      <c r="X41" s="221">
        <f t="shared" si="7"/>
        <v>0</v>
      </c>
      <c r="AA41" s="48"/>
    </row>
    <row r="42" spans="1:27" ht="18.75" customHeight="1" x14ac:dyDescent="0.2">
      <c r="A42" s="180" t="s">
        <v>64</v>
      </c>
      <c r="B42" s="178" t="b">
        <f t="shared" si="0"/>
        <v>0</v>
      </c>
      <c r="D42" s="218" t="str" cm="1">
        <f t="array" ref="D42">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(PRICING[SKU]=$A42)*
            (
                ((PRICING[Rebate $]&lt;&gt;"")*(PRICING[Rebate $]&lt;&gt;0))
                +
                (
                    (
                        ISNUMBER(SEARCH("*Ronstar*FLO*",PRICING[Product]))+
                        ISNUMBER(SEARCH("Altus*",PRICING[Product]))+
                        ISNUMBER(SEARCH("Kontos*",PRICING[Product]))
                    )*
                    (PRICING[Min Qty]&lt;&gt;0)
                )
            )
        )
    ),
    ""
)</f>
        <v>16+ units</v>
      </c>
      <c r="E42" s="215" t="str">
        <f>_xlfn.XLOOKUP(A42, PRICING[SKU], PRICING[Product], "")</f>
        <v>Kontos®</v>
      </c>
      <c r="F42" s="46" t="str">
        <f>_xlfn.XLOOKUP(A42, PRICING[SKU], PRICING[Size], "")</f>
        <v>1 qt</v>
      </c>
      <c r="G42" s="40" t="str">
        <f>IF(_xlfn.XLOOKUP(A42,PRICING[SKU],PRICING[Indication])="I","Insecticide",
 IF(_xlfn.XLOOKUP(A42,PRICING[SKU],PRICING[Indication])="H","Herbicide",
 IF(_xlfn.XLOOKUP(A42,PRICING[SKU],PRICING[Indication])="F","Fungicide",
 IF(_xlfn.XLOOKUP(A42,PRICING[SKU],PRICING[Indication])="PGR","PGR",""))))</f>
        <v>Insecticide</v>
      </c>
      <c r="H42" s="47"/>
      <c r="I42" s="41">
        <f>INDEX(PRICING[2026 In-Season Price],MATCH(A42,PRICING[SKU],0))</f>
        <v>777.92</v>
      </c>
      <c r="J42" s="42" t="str">
        <f t="shared" si="1"/>
        <v/>
      </c>
      <c r="K42" s="42">
        <f>INDEX(PRICING[NOW Price],MATCH(A42,PRICING[SKU],0))</f>
        <v>661.12</v>
      </c>
      <c r="L42" s="42" t="str">
        <f t="shared" si="2"/>
        <v/>
      </c>
      <c r="M42" s="43">
        <f>INDEX(Rebate_Lookup[Instances],MATCH(A42,Rebate_Lookup[SKU CODE],0))</f>
        <v>1</v>
      </c>
      <c r="N42" s="43" t="str">
        <f>IF(H42="","",INDEX(Rebate_Lookup[Qualified Rebate Tier],MATCH(A42,Rebate_Lookup[SKU CODE],0)))</f>
        <v/>
      </c>
      <c r="O42" s="42" t="str">
        <f>IF(OR(H42="",N42=""),"",
IF(N42=1,INDEX(Rebate_Lookup[REB_MOQ_1],MATCH(A42,Rebate_Lookup[SKU CODE],0)),
IF(N42=2,INDEX(Rebate_Lookup[REB_MOQ_2],MATCH(A42,Rebate_Lookup[SKU CODE],0)),
IF(N42=3,INDEX(Rebate_Lookup[REB_MOQ_3],MATCH(A42,Rebate_Lookup[SKU CODE],0)),
IF(N42=4,INDEX(Rebate_Lookup[REB_MOQ_4],MATCH(A42,Rebate_Lookup[SKU CODE],0)),
"#err")))))</f>
        <v/>
      </c>
      <c r="P42" s="44" t="str">
        <f>IF(L68&gt;5000,IF(OR(O42=0,O42=""),"",H42*O42),"")</f>
        <v/>
      </c>
      <c r="Q42" s="44" t="str">
        <f>IF(
    H42&gt;0,
    IF(
        OR(
            AND(ISNUMBER(SEARCH("Specticle",E42)),ISNUMBER(SEARCH("FLO",E42))),
            AND(ISNUMBER(SEARCH("Ronstar",E42)),ISNUMBER(SEARCH("FLO",E42)))
        ),
        IF(
            AND(_xlfn.XLOOKUP(A42,PRICING[SKU],PRICING[October Bonus],FALSE),$R$10="YES"),
            ROUND(L42*$G$113,2),
            "N/A"
        ),
        IFERROR(
            IF(
                _xlfn.XLOOKUP(A42,PRICING[SKU],PRICING[October Bonus],FALSE),
                ROUND(L42*SUM($G$109:$G$113),2),
                ROUND(L42*SUM($G$109:$G$112),2)
            ),
            ""
        )
    ),
    ""
)</f>
        <v/>
      </c>
      <c r="R42" s="42" t="str">
        <f t="shared" si="3"/>
        <v/>
      </c>
      <c r="S42" s="203" t="str">
        <f t="shared" si="4"/>
        <v/>
      </c>
      <c r="T42" s="204" cm="1">
        <f t="array" ref="T42">IF(OR(H42="",H42=0),
ROUND(_xlfn.XLOOKUP(1,(PRICING[SKU]=A42)*(PRICING[Set]=1),PRICING[Standard Use Rate (oz/M)]),2),ROUND(
_xlfn.XLOOKUP(
1,
(PRICING[SKU]=A42)*
(PRICING[Set]=IF(
_xlfn.XLOOKUP(A42,Rebate_Lookup[SKU CODE],Rebate_Lookup[MOQ_2])=0,
1,
IF(
AND(
_xlfn.XLOOKUP(A42,Rebate_Lookup[SKU CODE],Rebate_Lookup[MOQ_3])=0,
H42&gt;=_xlfn.XLOOKUP(A42,Rebate_Lookup[SKU CODE],Rebate_Lookup[MOQ_2])
),
2,
IF(
AND(
H42&gt;=_xlfn.XLOOKUP(A42,Rebate_Lookup[SKU CODE],Rebate_Lookup[MOQ_1]),
H42&lt;_xlfn.XLOOKUP(A42,Rebate_Lookup[SKU CODE],Rebate_Lookup[MOQ_2])
),
1,
IF(
AND(
H42&gt;=_xlfn.XLOOKUP(A42,Rebate_Lookup[SKU CODE],Rebate_Lookup[MOQ_2]),
OR(
_xlfn.XLOOKUP(A42,Rebate_Lookup[SKU CODE],Rebate_Lookup[MOQ_3])=0,
H42&lt;_xlfn.XLOOKUP(A42,Rebate_Lookup[SKU CODE],Rebate_Lookup[MOQ_3])
)
),
2,
IF(
OR(
AND(
_xlfn.XLOOKUP(A42,Rebate_Lookup[SKU CODE],Rebate_Lookup[MOQ_4])=0,
H42&gt;=_xlfn.XLOOKUP(A42,Rebate_Lookup[SKU CODE],Rebate_Lookup[MOQ_3])
),
AND(
_xlfn.XLOOKUP(A42,Rebate_Lookup[SKU CODE],Rebate_Lookup[MOQ_4])&gt;0,
H42&gt;=_xlfn.XLOOKUP(A42,Rebate_Lookup[SKU CODE],Rebate_Lookup[MOQ_3]),
H42&lt;_xlfn.XLOOKUP(A42,Rebate_Lookup[SKU CODE],Rebate_Lookup[MOQ_4])
)
),
3,
IF(
AND(
_xlfn.XLOOKUP(A42,Rebate_Lookup[SKU CODE],Rebate_Lookup[MOQ_4])&gt;0,
H42&gt;=_xlfn.XLOOKUP(A42,Rebate_Lookup[SKU CODE],Rebate_Lookup[MOQ_4])
),
4,
1
)
)
)
)
)
)),
PRICING[Standard Use Rate (oz/M)]
),
2
))</f>
        <v>0.11</v>
      </c>
      <c r="U42" s="117">
        <f t="shared" si="5"/>
        <v>4.79</v>
      </c>
      <c r="V42" s="45" t="str">
        <f>IF(AND(TRIM(U42)&lt;&gt;"",TRIM(H42)&lt;&gt;""),ROUND(H42*INDEX(PRICING[Package Ounces],MATCH(A42,PRICING[SKU],0))/U42,2),"")</f>
        <v/>
      </c>
      <c r="W42" s="222">
        <f t="shared" si="6"/>
        <v>0</v>
      </c>
      <c r="X42" s="221">
        <f t="shared" si="7"/>
        <v>0</v>
      </c>
      <c r="AA42" s="48"/>
    </row>
    <row r="43" spans="1:27" ht="18.75" customHeight="1" x14ac:dyDescent="0.2">
      <c r="A43" s="174" t="s">
        <v>65</v>
      </c>
      <c r="B43" s="178" t="b">
        <f t="shared" si="0"/>
        <v>0</v>
      </c>
      <c r="D43" s="218" t="str" cm="1">
        <f t="array" ref="D43">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(PRICING[SKU]=$A43)*
            (
                ((PRICING[Rebate $]&lt;&gt;"")*(PRICING[Rebate $]&lt;&gt;0))
                +
                (
                    (
                        ISNUMBER(SEARCH("*Ronstar*FLO*",PRICING[Product]))+
                        ISNUMBER(SEARCH("Altus*",PRICING[Product]))+
                        ISNUMBER(SEARCH("Kontos*",PRICING[Product]))
                    )*
                    (PRICING[Min Qty]&lt;&gt;0)
                )
            )
        )
    ),
    ""
)</f>
        <v>$15.00 off on 1-3 units; $75.00 off on 4+ units</v>
      </c>
      <c r="E43" s="215" t="str">
        <f>_xlfn.XLOOKUP(A43, PRICING[SKU], PRICING[Product], "")</f>
        <v>Mirage® Stressgard®</v>
      </c>
      <c r="F43" s="46" t="str">
        <f>_xlfn.XLOOKUP(A43, PRICING[SKU], PRICING[Size], "")</f>
        <v>2.5 gal</v>
      </c>
      <c r="G43" s="40" t="str">
        <f>IF(_xlfn.XLOOKUP(A43,PRICING[SKU],PRICING[Indication])="I","Insecticide",
 IF(_xlfn.XLOOKUP(A43,PRICING[SKU],PRICING[Indication])="H","Herbicide",
 IF(_xlfn.XLOOKUP(A43,PRICING[SKU],PRICING[Indication])="F","Fungicide",
 IF(_xlfn.XLOOKUP(A43,PRICING[SKU],PRICING[Indication])="PGR","PGR",""))))</f>
        <v>Fungicide</v>
      </c>
      <c r="H43" s="47"/>
      <c r="I43" s="41">
        <f>INDEX(PRICING[2026 In-Season Price],MATCH(A43,PRICING[SKU],0))</f>
        <v>515.20000000000005</v>
      </c>
      <c r="J43" s="42" t="str">
        <f t="shared" si="1"/>
        <v/>
      </c>
      <c r="K43" s="42">
        <f>INDEX(PRICING[NOW Price],MATCH(A43,PRICING[SKU],0))</f>
        <v>515.20000000000005</v>
      </c>
      <c r="L43" s="42" t="str">
        <f t="shared" si="2"/>
        <v/>
      </c>
      <c r="M43" s="43">
        <f>INDEX(Rebate_Lookup[Instances],MATCH(A43,Rebate_Lookup[SKU CODE],0))</f>
        <v>2</v>
      </c>
      <c r="N43" s="43" t="str">
        <f>IF(H43="","",INDEX(Rebate_Lookup[Qualified Rebate Tier],MATCH(A43,Rebate_Lookup[SKU CODE],0)))</f>
        <v/>
      </c>
      <c r="O43" s="42" t="str">
        <f>IF(OR(H43="",N43=""),"",
IF(N43=1,INDEX(Rebate_Lookup[REB_MOQ_1],MATCH(A43,Rebate_Lookup[SKU CODE],0)),
IF(N43=2,INDEX(Rebate_Lookup[REB_MOQ_2],MATCH(A43,Rebate_Lookup[SKU CODE],0)),
IF(N43=3,INDEX(Rebate_Lookup[REB_MOQ_3],MATCH(A43,Rebate_Lookup[SKU CODE],0)),
IF(N43=4,INDEX(Rebate_Lookup[REB_MOQ_4],MATCH(A43,Rebate_Lookup[SKU CODE],0)),
"#err")))))</f>
        <v/>
      </c>
      <c r="P43" s="44" t="str">
        <f>IF(L68&gt;5000,IF(OR(O43=0,O43=""),"",H43*O43),"")</f>
        <v/>
      </c>
      <c r="Q43" s="44" t="str">
        <f>IF(
    H43&gt;0,
    IF(
        OR(
            AND(ISNUMBER(SEARCH("Specticle",E43)),ISNUMBER(SEARCH("FLO",E43))),
            AND(ISNUMBER(SEARCH("Ronstar",E43)),ISNUMBER(SEARCH("FLO",E43)))
        ),
        IF(
            AND(_xlfn.XLOOKUP(A43,PRICING[SKU],PRICING[October Bonus],FALSE),$R$10="YES"),
            ROUND(L43*$G$113,2),
            "N/A"
        ),
        IFERROR(
            IF(
                _xlfn.XLOOKUP(A43,PRICING[SKU],PRICING[October Bonus],FALSE),
                ROUND(L43*SUM($G$109:$G$113),2),
                ROUND(L43*SUM($G$109:$G$112),2)
            ),
            ""
        )
    ),
    ""
)</f>
        <v/>
      </c>
      <c r="R43" s="42" t="str">
        <f t="shared" si="3"/>
        <v/>
      </c>
      <c r="S43" s="203" t="str">
        <f t="shared" si="4"/>
        <v/>
      </c>
      <c r="T43" s="204" cm="1">
        <f t="array" ref="T43">IF(OR(H43="",H43=0),
ROUND(_xlfn.XLOOKUP(1,(PRICING[SKU]=A43)*(PRICING[Set]=1),PRICING[Standard Use Rate (oz/M)]),2),ROUND(
_xlfn.XLOOKUP(
1,
(PRICING[SKU]=A43)*
(PRICING[Set]=IF(
_xlfn.XLOOKUP(A43,Rebate_Lookup[SKU CODE],Rebate_Lookup[MOQ_2])=0,
1,
IF(
AND(
_xlfn.XLOOKUP(A43,Rebate_Lookup[SKU CODE],Rebate_Lookup[MOQ_3])=0,
H43&gt;=_xlfn.XLOOKUP(A43,Rebate_Lookup[SKU CODE],Rebate_Lookup[MOQ_2])
),
2,
IF(
AND(
H43&gt;=_xlfn.XLOOKUP(A43,Rebate_Lookup[SKU CODE],Rebate_Lookup[MOQ_1]),
H43&lt;_xlfn.XLOOKUP(A43,Rebate_Lookup[SKU CODE],Rebate_Lookup[MOQ_2])
),
1,
IF(
AND(
H43&gt;=_xlfn.XLOOKUP(A43,Rebate_Lookup[SKU CODE],Rebate_Lookup[MOQ_2]),
OR(
_xlfn.XLOOKUP(A43,Rebate_Lookup[SKU CODE],Rebate_Lookup[MOQ_3])=0,
H43&lt;_xlfn.XLOOKUP(A43,Rebate_Lookup[SKU CODE],Rebate_Lookup[MOQ_3])
)
),
2,
IF(
OR(
AND(
_xlfn.XLOOKUP(A43,Rebate_Lookup[SKU CODE],Rebate_Lookup[MOQ_4])=0,
H43&gt;=_xlfn.XLOOKUP(A43,Rebate_Lookup[SKU CODE],Rebate_Lookup[MOQ_3])
),
AND(
_xlfn.XLOOKUP(A43,Rebate_Lookup[SKU CODE],Rebate_Lookup[MOQ_4])&gt;0,
H43&gt;=_xlfn.XLOOKUP(A43,Rebate_Lookup[SKU CODE],Rebate_Lookup[MOQ_3]),
H43&lt;_xlfn.XLOOKUP(A43,Rebate_Lookup[SKU CODE],Rebate_Lookup[MOQ_4])
)
),
3,
IF(
AND(
_xlfn.XLOOKUP(A43,Rebate_Lookup[SKU CODE],Rebate_Lookup[MOQ_4])&gt;0,
H43&gt;=_xlfn.XLOOKUP(A43,Rebate_Lookup[SKU CODE],Rebate_Lookup[MOQ_4])
),
4,
1
)
)
)
)
)
)),
PRICING[Standard Use Rate (oz/M)]
),
2
))</f>
        <v>1</v>
      </c>
      <c r="U43" s="117">
        <f t="shared" si="5"/>
        <v>43.56</v>
      </c>
      <c r="V43" s="45" t="str">
        <f>IF(AND(TRIM(U43)&lt;&gt;"",TRIM(H43)&lt;&gt;""),ROUND(H43*INDEX(PRICING[Package Ounces],MATCH(A43,PRICING[SKU],0))/U43,2),"")</f>
        <v/>
      </c>
      <c r="W43" s="222">
        <f t="shared" si="6"/>
        <v>0</v>
      </c>
      <c r="X43" s="221">
        <f t="shared" si="7"/>
        <v>0</v>
      </c>
      <c r="AA43" s="48"/>
    </row>
    <row r="44" spans="1:27" ht="18.75" customHeight="1" x14ac:dyDescent="0.2">
      <c r="A44" s="174">
        <v>11003880</v>
      </c>
      <c r="B44" s="178" t="b">
        <f t="shared" si="0"/>
        <v>0</v>
      </c>
      <c r="D44" s="218" t="str" cm="1">
        <f t="array" ref="D44">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(PRICING[SKU]=$A44)*
            (
                ((PRICING[Rebate $]&lt;&gt;"")*(PRICING[Rebate $]&lt;&gt;0))
                +
                (
                    (
                        ISNUMBER(SEARCH("*Ronstar*FLO*",PRICING[Product]))+
                        ISNUMBER(SEARCH("Altus*",PRICING[Product]))+
                        ISNUMBER(SEARCH("Kontos*",PRICING[Product]))
                    )*
                    (PRICING[Min Qty]&lt;&gt;0)
                )
            )
        )
    ),
    ""
)</f>
        <v>$162.00 off on 6+ units</v>
      </c>
      <c r="E44" s="215" t="str">
        <f>_xlfn.XLOOKUP(A44, PRICING[SKU], PRICING[Product], "")</f>
        <v xml:space="preserve">Rayora® Fungicide </v>
      </c>
      <c r="F44" s="46" t="str">
        <f>_xlfn.XLOOKUP(A44, PRICING[SKU], PRICING[Size], "")</f>
        <v>2.5 gal</v>
      </c>
      <c r="G44" s="40" t="str">
        <f>IF(_xlfn.XLOOKUP(A44,PRICING[SKU],PRICING[Indication])="I","Insecticide",
 IF(_xlfn.XLOOKUP(A44,PRICING[SKU],PRICING[Indication])="H","Herbicide",
 IF(_xlfn.XLOOKUP(A44,PRICING[SKU],PRICING[Indication])="F","Fungicide",
 IF(_xlfn.XLOOKUP(A44,PRICING[SKU],PRICING[Indication])="PGR","PGR",""))))</f>
        <v>Fungicide</v>
      </c>
      <c r="H44" s="47"/>
      <c r="I44" s="41">
        <f>INDEX(PRICING[2026 In-Season Price],MATCH(A44,PRICING[SKU],0))</f>
        <v>659.2</v>
      </c>
      <c r="J44" s="42" t="str">
        <f t="shared" si="1"/>
        <v/>
      </c>
      <c r="K44" s="42">
        <f>INDEX(PRICING[NOW Price],MATCH(A44,PRICING[SKU],0))</f>
        <v>659.2</v>
      </c>
      <c r="L44" s="42" t="str">
        <f t="shared" si="2"/>
        <v/>
      </c>
      <c r="M44" s="43">
        <f>INDEX(Rebate_Lookup[Instances],MATCH(A44,Rebate_Lookup[SKU CODE],0))</f>
        <v>2</v>
      </c>
      <c r="N44" s="43" t="str">
        <f>IF(H44="","",INDEX(Rebate_Lookup[Qualified Rebate Tier],MATCH(A44,Rebate_Lookup[SKU CODE],0)))</f>
        <v/>
      </c>
      <c r="O44" s="42" t="str">
        <f>IF(OR(H44="",N44=""),"",
IF(N44=1,INDEX(Rebate_Lookup[REB_MOQ_1],MATCH(A44,Rebate_Lookup[SKU CODE],0)),
IF(N44=2,INDEX(Rebate_Lookup[REB_MOQ_2],MATCH(A44,Rebate_Lookup[SKU CODE],0)),
IF(N44=3,INDEX(Rebate_Lookup[REB_MOQ_3],MATCH(A44,Rebate_Lookup[SKU CODE],0)),
IF(N44=4,INDEX(Rebate_Lookup[REB_MOQ_4],MATCH(A44,Rebate_Lookup[SKU CODE],0)),
"#err")))))</f>
        <v/>
      </c>
      <c r="P44" s="44" t="str">
        <f>IF(L68&gt;5000,IF(OR(O44=0,O44=""),"",H44*O44),"")</f>
        <v/>
      </c>
      <c r="Q44" s="44" t="str">
        <f>IF(
    H44&gt;0,
    IF(
        OR(
            AND(ISNUMBER(SEARCH("Specticle",E44)),ISNUMBER(SEARCH("FLO",E44))),
            AND(ISNUMBER(SEARCH("Ronstar",E44)),ISNUMBER(SEARCH("FLO",E44)))
        ),
        IF(
            AND(_xlfn.XLOOKUP(A44,PRICING[SKU],PRICING[October Bonus],FALSE),$R$10="YES"),
            ROUND(L44*$G$113,2),
            "N/A"
        ),
        IFERROR(
            IF(
                _xlfn.XLOOKUP(A44,PRICING[SKU],PRICING[October Bonus],FALSE),
                ROUND(L44*SUM($G$109:$G$113),2),
                ROUND(L44*SUM($G$109:$G$112),2)
            ),
            ""
        )
    ),
    ""
)</f>
        <v/>
      </c>
      <c r="R44" s="42" t="str">
        <f t="shared" si="3"/>
        <v/>
      </c>
      <c r="S44" s="203" t="str">
        <f t="shared" si="4"/>
        <v/>
      </c>
      <c r="T44" s="204" cm="1">
        <f t="array" ref="T44">IF(OR(H44="",H44=0),
ROUND(_xlfn.XLOOKUP(1,(PRICING[SKU]=A44)*(PRICING[Set]=1),PRICING[Standard Use Rate (oz/M)]),2),ROUND(
_xlfn.XLOOKUP(
1,
(PRICING[SKU]=A44)*
(PRICING[Set]=IF(
_xlfn.XLOOKUP(A44,Rebate_Lookup[SKU CODE],Rebate_Lookup[MOQ_2])=0,
1,
IF(
AND(
_xlfn.XLOOKUP(A44,Rebate_Lookup[SKU CODE],Rebate_Lookup[MOQ_3])=0,
H44&gt;=_xlfn.XLOOKUP(A44,Rebate_Lookup[SKU CODE],Rebate_Lookup[MOQ_2])
),
2,
IF(
AND(
H44&gt;=_xlfn.XLOOKUP(A44,Rebate_Lookup[SKU CODE],Rebate_Lookup[MOQ_1]),
H44&lt;_xlfn.XLOOKUP(A44,Rebate_Lookup[SKU CODE],Rebate_Lookup[MOQ_2])
),
1,
IF(
AND(
H44&gt;=_xlfn.XLOOKUP(A44,Rebate_Lookup[SKU CODE],Rebate_Lookup[MOQ_2]),
OR(
_xlfn.XLOOKUP(A44,Rebate_Lookup[SKU CODE],Rebate_Lookup[MOQ_3])=0,
H44&lt;_xlfn.XLOOKUP(A44,Rebate_Lookup[SKU CODE],Rebate_Lookup[MOQ_3])
)
),
2,
IF(
OR(
AND(
_xlfn.XLOOKUP(A44,Rebate_Lookup[SKU CODE],Rebate_Lookup[MOQ_4])=0,
H44&gt;=_xlfn.XLOOKUP(A44,Rebate_Lookup[SKU CODE],Rebate_Lookup[MOQ_3])
),
AND(
_xlfn.XLOOKUP(A44,Rebate_Lookup[SKU CODE],Rebate_Lookup[MOQ_4])&gt;0,
H44&gt;=_xlfn.XLOOKUP(A44,Rebate_Lookup[SKU CODE],Rebate_Lookup[MOQ_3]),
H44&lt;_xlfn.XLOOKUP(A44,Rebate_Lookup[SKU CODE],Rebate_Lookup[MOQ_4])
)
),
3,
IF(
AND(
_xlfn.XLOOKUP(A44,Rebate_Lookup[SKU CODE],Rebate_Lookup[MOQ_4])&gt;0,
H44&gt;=_xlfn.XLOOKUP(A44,Rebate_Lookup[SKU CODE],Rebate_Lookup[MOQ_4])
),
4,
1
)
)
)
)
)
)),
PRICING[Standard Use Rate (oz/M)]
),
2
))</f>
        <v>1.4</v>
      </c>
      <c r="U44" s="117">
        <f t="shared" si="5"/>
        <v>60.98</v>
      </c>
      <c r="V44" s="45" t="str">
        <f>IF(AND(TRIM(U44)&lt;&gt;"",TRIM(H44)&lt;&gt;""),ROUND(H44*INDEX(PRICING[Package Ounces],MATCH(A44,PRICING[SKU],0))/U44,2),"")</f>
        <v/>
      </c>
      <c r="W44" s="222">
        <f t="shared" si="6"/>
        <v>0</v>
      </c>
      <c r="X44" s="221">
        <f t="shared" si="7"/>
        <v>0</v>
      </c>
      <c r="AA44" s="48"/>
    </row>
    <row r="45" spans="1:27" ht="18.75" customHeight="1" x14ac:dyDescent="0.2">
      <c r="A45" s="174" t="s">
        <v>66</v>
      </c>
      <c r="B45" s="178" t="b">
        <f t="shared" si="0"/>
        <v>0</v>
      </c>
      <c r="D45" s="218" t="str" cm="1">
        <f t="array" ref="D45">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(PRICING[SKU]=$A45)*
            (
                ((PRICING[Rebate $]&lt;&gt;"")*(PRICING[Rebate $]&lt;&gt;0))
                +
                (
                    (
                        ISNUMBER(SEARCH("*Ronstar*FLO*",PRICING[Product]))+
                        ISNUMBER(SEARCH("Altus*",PRICING[Product]))+
                        ISNUMBER(SEARCH("Kontos*",PRICING[Product]))
                    )*
                    (PRICING[Min Qty]&lt;&gt;0)
                )
            )
        )
    ),
    ""
)</f>
        <v>$50.00 off on 4-14 units; $190.00 off on 15+ units</v>
      </c>
      <c r="E45" s="215" t="str">
        <f>_xlfn.XLOOKUP(A45, PRICING[SKU], PRICING[Product], "")</f>
        <v>Resilia®</v>
      </c>
      <c r="F45" s="46" t="str">
        <f>_xlfn.XLOOKUP(A45, PRICING[SKU], PRICING[Size], "")</f>
        <v>2.72 gal</v>
      </c>
      <c r="G45" s="40" t="str">
        <f>IF(_xlfn.XLOOKUP(A45,PRICING[SKU],PRICING[Indication])="I","Insecticide",
 IF(_xlfn.XLOOKUP(A45,PRICING[SKU],PRICING[Indication])="H","Herbicide",
 IF(_xlfn.XLOOKUP(A45,PRICING[SKU],PRICING[Indication])="F","Fungicide",
 IF(_xlfn.XLOOKUP(A45,PRICING[SKU],PRICING[Indication])="PGR","PGR",""))))</f>
        <v>Fungicide</v>
      </c>
      <c r="H45" s="47"/>
      <c r="I45" s="41">
        <f>INDEX(PRICING[2026 In-Season Price],MATCH(A45,PRICING[SKU],0))</f>
        <v>1044.48</v>
      </c>
      <c r="J45" s="42" t="str">
        <f t="shared" si="1"/>
        <v/>
      </c>
      <c r="K45" s="42">
        <f>INDEX(PRICING[NOW Price],MATCH(A45,PRICING[SKU],0))</f>
        <v>1044.48</v>
      </c>
      <c r="L45" s="42" t="str">
        <f t="shared" si="2"/>
        <v/>
      </c>
      <c r="M45" s="43">
        <f>INDEX(Rebate_Lookup[Instances],MATCH(A45,Rebate_Lookup[SKU CODE],0))</f>
        <v>3</v>
      </c>
      <c r="N45" s="43" t="str">
        <f>IF(H45="","",INDEX(Rebate_Lookup[Qualified Rebate Tier],MATCH(A45,Rebate_Lookup[SKU CODE],0)))</f>
        <v/>
      </c>
      <c r="O45" s="42" t="str">
        <f>IF(OR(H45="",N45=""),"",
IF(N45=1,INDEX(Rebate_Lookup[REB_MOQ_1],MATCH(A45,Rebate_Lookup[SKU CODE],0)),
IF(N45=2,INDEX(Rebate_Lookup[REB_MOQ_2],MATCH(A45,Rebate_Lookup[SKU CODE],0)),
IF(N45=3,INDEX(Rebate_Lookup[REB_MOQ_3],MATCH(A45,Rebate_Lookup[SKU CODE],0)),
IF(N45=4,INDEX(Rebate_Lookup[REB_MOQ_4],MATCH(A45,Rebate_Lookup[SKU CODE],0)),
"#err")))))</f>
        <v/>
      </c>
      <c r="P45" s="44" t="str">
        <f>IF(L68&gt;5000,IF(OR(O45=0,O45=""),"",H45*O45),"")</f>
        <v/>
      </c>
      <c r="Q45" s="44" t="str">
        <f>IF(
    H45&gt;0,
    IF(
        OR(
            AND(ISNUMBER(SEARCH("Specticle",E45)),ISNUMBER(SEARCH("FLO",E45))),
            AND(ISNUMBER(SEARCH("Ronstar",E45)),ISNUMBER(SEARCH("FLO",E45)))
        ),
        IF(
            AND(_xlfn.XLOOKUP(A45,PRICING[SKU],PRICING[October Bonus],FALSE),$R$10="YES"),
            ROUND(L45*$G$113,2),
            "N/A"
        ),
        IFERROR(
            IF(
                _xlfn.XLOOKUP(A45,PRICING[SKU],PRICING[October Bonus],FALSE),
                ROUND(L45*SUM($G$109:$G$113),2),
                ROUND(L45*SUM($G$109:$G$112),2)
            ),
            ""
        )
    ),
    ""
)</f>
        <v/>
      </c>
      <c r="R45" s="42" t="str">
        <f t="shared" si="3"/>
        <v/>
      </c>
      <c r="S45" s="203" t="str">
        <f t="shared" si="4"/>
        <v/>
      </c>
      <c r="T45" s="204" cm="1">
        <f t="array" ref="T45">IF(OR(H45="",H45=0),
ROUND(_xlfn.XLOOKUP(1,(PRICING[SKU]=A45)*(PRICING[Set]=1),PRICING[Standard Use Rate (oz/M)]),2),ROUND(
_xlfn.XLOOKUP(
1,
(PRICING[SKU]=A45)*
(PRICING[Set]=IF(
_xlfn.XLOOKUP(A45,Rebate_Lookup[SKU CODE],Rebate_Lookup[MOQ_2])=0,
1,
IF(
AND(
_xlfn.XLOOKUP(A45,Rebate_Lookup[SKU CODE],Rebate_Lookup[MOQ_3])=0,
H45&gt;=_xlfn.XLOOKUP(A45,Rebate_Lookup[SKU CODE],Rebate_Lookup[MOQ_2])
),
2,
IF(
AND(
H45&gt;=_xlfn.XLOOKUP(A45,Rebate_Lookup[SKU CODE],Rebate_Lookup[MOQ_1]),
H45&lt;_xlfn.XLOOKUP(A45,Rebate_Lookup[SKU CODE],Rebate_Lookup[MOQ_2])
),
1,
IF(
AND(
H45&gt;=_xlfn.XLOOKUP(A45,Rebate_Lookup[SKU CODE],Rebate_Lookup[MOQ_2]),
OR(
_xlfn.XLOOKUP(A45,Rebate_Lookup[SKU CODE],Rebate_Lookup[MOQ_3])=0,
H45&lt;_xlfn.XLOOKUP(A45,Rebate_Lookup[SKU CODE],Rebate_Lookup[MOQ_3])
)
),
2,
IF(
OR(
AND(
_xlfn.XLOOKUP(A45,Rebate_Lookup[SKU CODE],Rebate_Lookup[MOQ_4])=0,
H45&gt;=_xlfn.XLOOKUP(A45,Rebate_Lookup[SKU CODE],Rebate_Lookup[MOQ_3])
),
AND(
_xlfn.XLOOKUP(A45,Rebate_Lookup[SKU CODE],Rebate_Lookup[MOQ_4])&gt;0,
H45&gt;=_xlfn.XLOOKUP(A45,Rebate_Lookup[SKU CODE],Rebate_Lookup[MOQ_3]),
H45&lt;_xlfn.XLOOKUP(A45,Rebate_Lookup[SKU CODE],Rebate_Lookup[MOQ_4])
)
),
3,
IF(
AND(
_xlfn.XLOOKUP(A45,Rebate_Lookup[SKU CODE],Rebate_Lookup[MOQ_4])&gt;0,
H45&gt;=_xlfn.XLOOKUP(A45,Rebate_Lookup[SKU CODE],Rebate_Lookup[MOQ_4])
),
4,
1
)
)
)
)
)
)),
PRICING[Standard Use Rate (oz/M)]
),
2
))</f>
        <v>4</v>
      </c>
      <c r="U45" s="117">
        <f t="shared" si="5"/>
        <v>174.24</v>
      </c>
      <c r="V45" s="45" t="str">
        <f>IF(AND(TRIM(U45)&lt;&gt;"",TRIM(H45)&lt;&gt;""),ROUND(H45*INDEX(PRICING[Package Ounces],MATCH(A45,PRICING[SKU],0))/U45,2),"")</f>
        <v/>
      </c>
      <c r="W45" s="222">
        <f t="shared" si="6"/>
        <v>0</v>
      </c>
      <c r="X45" s="221">
        <f t="shared" si="7"/>
        <v>0</v>
      </c>
      <c r="AA45" s="48"/>
    </row>
    <row r="46" spans="1:27" ht="18.75" customHeight="1" x14ac:dyDescent="0.2">
      <c r="A46" s="175">
        <v>79545312</v>
      </c>
      <c r="B46" s="178" t="b">
        <f t="shared" si="0"/>
        <v>0</v>
      </c>
      <c r="D46" s="218" t="str" cm="1">
        <f t="array" ref="D46">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(PRICING[SKU]=$A46)*
            (
                ((PRICING[Rebate $]&lt;&gt;"")*(PRICING[Rebate $]&lt;&gt;0))
                +
                (
                    (
                        ISNUMBER(SEARCH("*Ronstar*FLO*",PRICING[Product]))+
                        ISNUMBER(SEARCH("Altus*",PRICING[Product]))+
                        ISNUMBER(SEARCH("Kontos*",PRICING[Product]))
                    )*
                    (PRICING[Min Qty]&lt;&gt;0)
                )
            )
        )
    ),
    ""
)</f>
        <v>$40.00 off on 1-5 units; $65.00 off on 6+ units</v>
      </c>
      <c r="E46" s="215" t="str">
        <f>_xlfn.XLOOKUP(A46, PRICING[SKU], PRICING[Product], "")</f>
        <v>Revolver®</v>
      </c>
      <c r="F46" s="46" t="str">
        <f>_xlfn.XLOOKUP(A46, PRICING[SKU], PRICING[Size], "")</f>
        <v>87 fl oz</v>
      </c>
      <c r="G46" s="40" t="str">
        <f>IF(_xlfn.XLOOKUP(A46,PRICING[SKU],PRICING[Indication])="I","Insecticide",
 IF(_xlfn.XLOOKUP(A46,PRICING[SKU],PRICING[Indication])="H","Herbicide",
 IF(_xlfn.XLOOKUP(A46,PRICING[SKU],PRICING[Indication])="F","Fungicide",
 IF(_xlfn.XLOOKUP(A46,PRICING[SKU],PRICING[Indication])="PGR","PGR",""))))</f>
        <v>Herbicide</v>
      </c>
      <c r="H46" s="47"/>
      <c r="I46" s="41">
        <f>INDEX(PRICING[2026 In-Season Price],MATCH(A46,PRICING[SKU],0))</f>
        <v>832.59</v>
      </c>
      <c r="J46" s="42" t="str">
        <f t="shared" si="1"/>
        <v/>
      </c>
      <c r="K46" s="42">
        <f>INDEX(PRICING[NOW Price],MATCH(A46,PRICING[SKU],0))</f>
        <v>808.23</v>
      </c>
      <c r="L46" s="42" t="str">
        <f t="shared" si="2"/>
        <v/>
      </c>
      <c r="M46" s="43">
        <f>INDEX(Rebate_Lookup[Instances],MATCH(A46,Rebate_Lookup[SKU CODE],0))</f>
        <v>2</v>
      </c>
      <c r="N46" s="43" t="str">
        <f>IF(H46="","",INDEX(Rebate_Lookup[Qualified Rebate Tier],MATCH(A46,Rebate_Lookup[SKU CODE],0)))</f>
        <v/>
      </c>
      <c r="O46" s="42" t="str">
        <f>IF(OR(H46="",N46=""),"",
IF(N46=1,INDEX(Rebate_Lookup[REB_MOQ_1],MATCH(A46,Rebate_Lookup[SKU CODE],0)),
IF(N46=2,INDEX(Rebate_Lookup[REB_MOQ_2],MATCH(A46,Rebate_Lookup[SKU CODE],0)),
IF(N46=3,INDEX(Rebate_Lookup[REB_MOQ_3],MATCH(A46,Rebate_Lookup[SKU CODE],0)),
IF(N46=4,INDEX(Rebate_Lookup[REB_MOQ_4],MATCH(A46,Rebate_Lookup[SKU CODE],0)),
"#err")))))</f>
        <v/>
      </c>
      <c r="P46" s="44" t="str">
        <f>IF(L68&gt;5000,IF(OR(O46=0,O46=""),"",H46*O46),"")</f>
        <v/>
      </c>
      <c r="Q46" s="44" t="str">
        <f>IF(
    H46&gt;0,
    IF(
        OR(
            AND(ISNUMBER(SEARCH("Specticle",E46)),ISNUMBER(SEARCH("FLO",E46))),
            AND(ISNUMBER(SEARCH("Ronstar",E46)),ISNUMBER(SEARCH("FLO",E46)))
        ),
        IF(
            AND(_xlfn.XLOOKUP(A46,PRICING[SKU],PRICING[October Bonus],FALSE),$R$10="YES"),
            ROUND(L46*$G$113,2),
            "N/A"
        ),
        IFERROR(
            IF(
                _xlfn.XLOOKUP(A46,PRICING[SKU],PRICING[October Bonus],FALSE),
                ROUND(L46*SUM($G$109:$G$113),2),
                ROUND(L46*SUM($G$109:$G$112),2)
            ),
            ""
        )
    ),
    ""
)</f>
        <v/>
      </c>
      <c r="R46" s="42" t="str">
        <f t="shared" si="3"/>
        <v/>
      </c>
      <c r="S46" s="203" t="str">
        <f t="shared" si="4"/>
        <v/>
      </c>
      <c r="T46" s="204" cm="1">
        <f t="array" ref="T46">IF(OR(H46="",H46=0),
ROUND(_xlfn.XLOOKUP(1,(PRICING[SKU]=A46)*(PRICING[Set]=1),PRICING[Standard Use Rate (oz/M)]),2),ROUND(
_xlfn.XLOOKUP(
1,
(PRICING[SKU]=A46)*
(PRICING[Set]=IF(
_xlfn.XLOOKUP(A46,Rebate_Lookup[SKU CODE],Rebate_Lookup[MOQ_2])=0,
1,
IF(
AND(
_xlfn.XLOOKUP(A46,Rebate_Lookup[SKU CODE],Rebate_Lookup[MOQ_3])=0,
H46&gt;=_xlfn.XLOOKUP(A46,Rebate_Lookup[SKU CODE],Rebate_Lookup[MOQ_2])
),
2,
IF(
AND(
H46&gt;=_xlfn.XLOOKUP(A46,Rebate_Lookup[SKU CODE],Rebate_Lookup[MOQ_1]),
H46&lt;_xlfn.XLOOKUP(A46,Rebate_Lookup[SKU CODE],Rebate_Lookup[MOQ_2])
),
1,
IF(
AND(
H46&gt;=_xlfn.XLOOKUP(A46,Rebate_Lookup[SKU CODE],Rebate_Lookup[MOQ_2]),
OR(
_xlfn.XLOOKUP(A46,Rebate_Lookup[SKU CODE],Rebate_Lookup[MOQ_3])=0,
H46&lt;_xlfn.XLOOKUP(A46,Rebate_Lookup[SKU CODE],Rebate_Lookup[MOQ_3])
)
),
2,
IF(
OR(
AND(
_xlfn.XLOOKUP(A46,Rebate_Lookup[SKU CODE],Rebate_Lookup[MOQ_4])=0,
H46&gt;=_xlfn.XLOOKUP(A46,Rebate_Lookup[SKU CODE],Rebate_Lookup[MOQ_3])
),
AND(
_xlfn.XLOOKUP(A46,Rebate_Lookup[SKU CODE],Rebate_Lookup[MOQ_4])&gt;0,
H46&gt;=_xlfn.XLOOKUP(A46,Rebate_Lookup[SKU CODE],Rebate_Lookup[MOQ_3]),
H46&lt;_xlfn.XLOOKUP(A46,Rebate_Lookup[SKU CODE],Rebate_Lookup[MOQ_4])
)
),
3,
IF(
AND(
_xlfn.XLOOKUP(A46,Rebate_Lookup[SKU CODE],Rebate_Lookup[MOQ_4])&gt;0,
H46&gt;=_xlfn.XLOOKUP(A46,Rebate_Lookup[SKU CODE],Rebate_Lookup[MOQ_4])
),
4,
1
)
)
)
)
)
)),
PRICING[Standard Use Rate (oz/M)]
),
2
))</f>
        <v>0.4</v>
      </c>
      <c r="U46" s="117">
        <f t="shared" si="5"/>
        <v>17.420000000000002</v>
      </c>
      <c r="V46" s="45" t="str">
        <f>IF(AND(TRIM(U46)&lt;&gt;"",TRIM(H46)&lt;&gt;""),ROUND(H46*INDEX(PRICING[Package Ounces],MATCH(A46,PRICING[SKU],0))/U46,2),"")</f>
        <v/>
      </c>
      <c r="W46" s="222">
        <f t="shared" si="6"/>
        <v>0</v>
      </c>
      <c r="X46" s="221">
        <f t="shared" si="7"/>
        <v>0</v>
      </c>
      <c r="AA46" s="48"/>
    </row>
    <row r="47" spans="1:27" ht="18.75" customHeight="1" x14ac:dyDescent="0.2">
      <c r="A47" s="174" t="s">
        <v>67</v>
      </c>
      <c r="B47" s="178" t="b">
        <f t="shared" si="0"/>
        <v>0</v>
      </c>
      <c r="D47" s="218" t="str" cm="1">
        <f t="array" ref="D47">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(PRICING[SKU]=$A47)*
            (
                ((PRICING[Rebate $]&lt;&gt;"")*(PRICING[Rebate $]&lt;&gt;0))
                +
                (
                    (
                        ISNUMBER(SEARCH("*Ronstar*FLO*",PRICING[Product]))+
                        ISNUMBER(SEARCH("Altus*",PRICING[Product]))+
                        ISNUMBER(SEARCH("Kontos*",PRICING[Product]))
                    )*
                    (PRICING[Min Qty]&lt;&gt;0)
                )
            )
        )
    ),
    ""
)</f>
        <v>1-11 units</v>
      </c>
      <c r="E47" s="215" t="str">
        <f>_xlfn.XLOOKUP(A47, PRICING[SKU], PRICING[Product], "")</f>
        <v xml:space="preserve">Ronstar® FLO </v>
      </c>
      <c r="F47" s="46" t="str">
        <f>_xlfn.XLOOKUP(A47, PRICING[SKU], PRICING[Size], "")</f>
        <v>2.5 gal</v>
      </c>
      <c r="G47" s="40" t="str">
        <f>IF(_xlfn.XLOOKUP(A47,PRICING[SKU],PRICING[Indication])="I","Insecticide",
 IF(_xlfn.XLOOKUP(A47,PRICING[SKU],PRICING[Indication])="H","Herbicide",
 IF(_xlfn.XLOOKUP(A47,PRICING[SKU],PRICING[Indication])="F","Fungicide",
 IF(_xlfn.XLOOKUP(A47,PRICING[SKU],PRICING[Indication])="PGR","PGR",""))))</f>
        <v>Herbicide</v>
      </c>
      <c r="H47" s="47"/>
      <c r="I47" s="41">
        <f>INDEX(PRICING[2026 In-Season Price],MATCH(A47,PRICING[SKU],0))</f>
        <v>576</v>
      </c>
      <c r="J47" s="42" t="str">
        <f t="shared" si="1"/>
        <v/>
      </c>
      <c r="K47" s="42">
        <f>INDEX(PRICING[NOW Price],MATCH(A47,PRICING[SKU],0))</f>
        <v>576</v>
      </c>
      <c r="L47" s="42" t="str">
        <f t="shared" si="2"/>
        <v/>
      </c>
      <c r="M47" s="43">
        <f>INDEX(Rebate_Lookup[Instances],MATCH(A47,Rebate_Lookup[SKU CODE],0))</f>
        <v>1</v>
      </c>
      <c r="N47" s="43" t="str">
        <f>IF(H47="","",INDEX(Rebate_Lookup[Qualified Rebate Tier],MATCH(A47,Rebate_Lookup[SKU CODE],0)))</f>
        <v/>
      </c>
      <c r="O47" s="42" t="str">
        <f>IF(OR(H47="",N47=""),"",
IF(N47=1,INDEX(Rebate_Lookup[REB_MOQ_1],MATCH(A47,Rebate_Lookup[SKU CODE],0)),
IF(N47=2,INDEX(Rebate_Lookup[REB_MOQ_2],MATCH(A47,Rebate_Lookup[SKU CODE],0)),
IF(N47=3,INDEX(Rebate_Lookup[REB_MOQ_3],MATCH(A47,Rebate_Lookup[SKU CODE],0)),
IF(N47=4,INDEX(Rebate_Lookup[REB_MOQ_4],MATCH(A47,Rebate_Lookup[SKU CODE],0)),
"#err")))))</f>
        <v/>
      </c>
      <c r="P47" s="44" t="str">
        <f>IF(L68&gt;5000,IF(OR(O47=0,O47=""),"",H47*O47),"")</f>
        <v/>
      </c>
      <c r="Q47" s="44" t="str">
        <f>IF(
    H47&gt;0,
    IF(
        OR(
            AND(ISNUMBER(SEARCH("Specticle",E47)),ISNUMBER(SEARCH("FLO",E47))),
            AND(ISNUMBER(SEARCH("Ronstar",E47)),ISNUMBER(SEARCH("FLO",E47)))
        ),
        IF(
            AND(_xlfn.XLOOKUP(A47,PRICING[SKU],PRICING[October Bonus],FALSE),$R$10="YES"),
            ROUND(L47*$G$113,2),
            "N/A"
        ),
        IFERROR(
            IF(
                _xlfn.XLOOKUP(A47,PRICING[SKU],PRICING[October Bonus],FALSE),
                ROUND(L47*SUM($G$109:$G$113),2),
                ROUND(L47*SUM($G$109:$G$112),2)
            ),
            ""
        )
    ),
    ""
)</f>
        <v/>
      </c>
      <c r="R47" s="42" t="str">
        <f t="shared" si="3"/>
        <v/>
      </c>
      <c r="S47" s="203" t="str">
        <f t="shared" si="4"/>
        <v/>
      </c>
      <c r="T47" s="204" cm="1">
        <f t="array" ref="T47">IF(OR(H47="",H47=0),
ROUND(_xlfn.XLOOKUP(1,(PRICING[SKU]=A47)*(PRICING[Set]=1),PRICING[Standard Use Rate (oz/M)]),2),ROUND(
_xlfn.XLOOKUP(
1,
(PRICING[SKU]=A47)*
(PRICING[Set]=IF(
_xlfn.XLOOKUP(A47,Rebate_Lookup[SKU CODE],Rebate_Lookup[MOQ_2])=0,
1,
IF(
AND(
_xlfn.XLOOKUP(A47,Rebate_Lookup[SKU CODE],Rebate_Lookup[MOQ_3])=0,
H47&gt;=_xlfn.XLOOKUP(A47,Rebate_Lookup[SKU CODE],Rebate_Lookup[MOQ_2])
),
2,
IF(
AND(
H47&gt;=_xlfn.XLOOKUP(A47,Rebate_Lookup[SKU CODE],Rebate_Lookup[MOQ_1]),
H47&lt;_xlfn.XLOOKUP(A47,Rebate_Lookup[SKU CODE],Rebate_Lookup[MOQ_2])
),
1,
IF(
AND(
H47&gt;=_xlfn.XLOOKUP(A47,Rebate_Lookup[SKU CODE],Rebate_Lookup[MOQ_2]),
OR(
_xlfn.XLOOKUP(A47,Rebate_Lookup[SKU CODE],Rebate_Lookup[MOQ_3])=0,
H47&lt;_xlfn.XLOOKUP(A47,Rebate_Lookup[SKU CODE],Rebate_Lookup[MOQ_3])
)
),
2,
IF(
OR(
AND(
_xlfn.XLOOKUP(A47,Rebate_Lookup[SKU CODE],Rebate_Lookup[MOQ_4])=0,
H47&gt;=_xlfn.XLOOKUP(A47,Rebate_Lookup[SKU CODE],Rebate_Lookup[MOQ_3])
),
AND(
_xlfn.XLOOKUP(A47,Rebate_Lookup[SKU CODE],Rebate_Lookup[MOQ_4])&gt;0,
H47&gt;=_xlfn.XLOOKUP(A47,Rebate_Lookup[SKU CODE],Rebate_Lookup[MOQ_3]),
H47&lt;_xlfn.XLOOKUP(A47,Rebate_Lookup[SKU CODE],Rebate_Lookup[MOQ_4])
)
),
3,
IF(
AND(
_xlfn.XLOOKUP(A47,Rebate_Lookup[SKU CODE],Rebate_Lookup[MOQ_4])&gt;0,
H47&gt;=_xlfn.XLOOKUP(A47,Rebate_Lookup[SKU CODE],Rebate_Lookup[MOQ_4])
),
4,
1
)
)
)
)
)
)),
PRICING[Standard Use Rate (oz/M)]
),
2
))</f>
        <v>2</v>
      </c>
      <c r="U47" s="117">
        <f t="shared" si="5"/>
        <v>87.12</v>
      </c>
      <c r="V47" s="45" t="str">
        <f>IF(AND(TRIM(U47)&lt;&gt;"",TRIM(H47)&lt;&gt;""),ROUND(H47*INDEX(PRICING[Package Ounces],MATCH(A47,PRICING[SKU],0))/U47,2),"")</f>
        <v/>
      </c>
      <c r="W47" s="222">
        <f t="shared" si="6"/>
        <v>0</v>
      </c>
      <c r="X47" s="221">
        <f t="shared" si="7"/>
        <v>0</v>
      </c>
      <c r="AA47" s="48"/>
    </row>
    <row r="48" spans="1:27" ht="18.75" customHeight="1" x14ac:dyDescent="0.2">
      <c r="A48" s="175" t="s">
        <v>68</v>
      </c>
      <c r="B48" s="178" t="b">
        <f t="shared" si="0"/>
        <v>0</v>
      </c>
      <c r="D48" s="218" t="str" cm="1">
        <f t="array" ref="D48">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(PRICING[SKU]=$A48)*
            (
                ((PRICING[Rebate $]&lt;&gt;"")*(PRICING[Rebate $]&lt;&gt;0))
                +
                (
                    (
                        ISNUMBER(SEARCH("*Ronstar*FLO*",PRICING[Product]))+
                        ISNUMBER(SEARCH("Altus*",PRICING[Product]))+
                        ISNUMBER(SEARCH("Kontos*",PRICING[Product]))
                    )*
                    (PRICING[Min Qty]&lt;&gt;0)
                )
            )
        )
    ),
    ""
)</f>
        <v>12-39 units</v>
      </c>
      <c r="E48" s="215" t="str">
        <f>_xlfn.XLOOKUP(A48, PRICING[SKU], PRICING[Product], "")</f>
        <v xml:space="preserve">Ronstar® FLO </v>
      </c>
      <c r="F48" s="46" t="str">
        <f>_xlfn.XLOOKUP(A48, PRICING[SKU], PRICING[Size], "")</f>
        <v>2.5 gal</v>
      </c>
      <c r="G48" s="40" t="str">
        <f>IF(_xlfn.XLOOKUP(A48,PRICING[SKU],PRICING[Indication])="I","Insecticide",
 IF(_xlfn.XLOOKUP(A48,PRICING[SKU],PRICING[Indication])="H","Herbicide",
 IF(_xlfn.XLOOKUP(A48,PRICING[SKU],PRICING[Indication])="F","Fungicide",
 IF(_xlfn.XLOOKUP(A48,PRICING[SKU],PRICING[Indication])="PGR","PGR",""))))</f>
        <v>Herbicide</v>
      </c>
      <c r="H48" s="47"/>
      <c r="I48" s="41">
        <f>INDEX(PRICING[2026 In-Season Price],MATCH(A48,PRICING[SKU],0))</f>
        <v>473.6</v>
      </c>
      <c r="J48" s="42" t="str">
        <f t="shared" si="1"/>
        <v/>
      </c>
      <c r="K48" s="42">
        <f>INDEX(PRICING[NOW Price],MATCH(A48,PRICING[SKU],0))</f>
        <v>473.6</v>
      </c>
      <c r="L48" s="42" t="str">
        <f t="shared" si="2"/>
        <v/>
      </c>
      <c r="M48" s="43">
        <f>INDEX(Rebate_Lookup[Instances],MATCH(A48,Rebate_Lookup[SKU CODE],0))</f>
        <v>1</v>
      </c>
      <c r="N48" s="43" t="str">
        <f>IF(H48="","",INDEX(Rebate_Lookup[Qualified Rebate Tier],MATCH(A48,Rebate_Lookup[SKU CODE],0)))</f>
        <v/>
      </c>
      <c r="O48" s="42" t="str">
        <f>IF(OR(H48="",N48=""),"",
IF(N48=1,INDEX(Rebate_Lookup[REB_MOQ_1],MATCH(A48,Rebate_Lookup[SKU CODE],0)),
IF(N48=2,INDEX(Rebate_Lookup[REB_MOQ_2],MATCH(A48,Rebate_Lookup[SKU CODE],0)),
IF(N48=3,INDEX(Rebate_Lookup[REB_MOQ_3],MATCH(A48,Rebate_Lookup[SKU CODE],0)),
IF(N48=4,INDEX(Rebate_Lookup[REB_MOQ_4],MATCH(A48,Rebate_Lookup[SKU CODE],0)),
"#err")))))</f>
        <v/>
      </c>
      <c r="P48" s="44" t="str">
        <f>IF(L68&gt;5000,IF(OR(O48=0,O48=""),"",H48*O48),"")</f>
        <v/>
      </c>
      <c r="Q48" s="44" t="str">
        <f>IF(
    H48&gt;0,
    IF(
        OR(
            AND(ISNUMBER(SEARCH("Specticle",E48)),ISNUMBER(SEARCH("FLO",E48))),
            AND(ISNUMBER(SEARCH("Ronstar",E48)),ISNUMBER(SEARCH("FLO",E48)))
        ),
        IF(
            AND(_xlfn.XLOOKUP(A48,PRICING[SKU],PRICING[October Bonus],FALSE),$R$10="YES"),
            ROUND(L48*$G$113,2),
            "N/A"
        ),
        IFERROR(
            IF(
                _xlfn.XLOOKUP(A48,PRICING[SKU],PRICING[October Bonus],FALSE),
                ROUND(L48*SUM($G$109:$G$113),2),
                ROUND(L48*SUM($G$109:$G$112),2)
            ),
            ""
        )
    ),
    ""
)</f>
        <v/>
      </c>
      <c r="R48" s="42" t="str">
        <f t="shared" si="3"/>
        <v/>
      </c>
      <c r="S48" s="203" t="str">
        <f t="shared" si="4"/>
        <v/>
      </c>
      <c r="T48" s="204" cm="1">
        <f t="array" ref="T48">IF(OR(H48="",H48=0),
ROUND(_xlfn.XLOOKUP(1,(PRICING[SKU]=A48)*(PRICING[Set]=1),PRICING[Standard Use Rate (oz/M)]),2),ROUND(
_xlfn.XLOOKUP(
1,
(PRICING[SKU]=A48)*
(PRICING[Set]=IF(
_xlfn.XLOOKUP(A48,Rebate_Lookup[SKU CODE],Rebate_Lookup[MOQ_2])=0,
1,
IF(
AND(
_xlfn.XLOOKUP(A48,Rebate_Lookup[SKU CODE],Rebate_Lookup[MOQ_3])=0,
H48&gt;=_xlfn.XLOOKUP(A48,Rebate_Lookup[SKU CODE],Rebate_Lookup[MOQ_2])
),
2,
IF(
AND(
H48&gt;=_xlfn.XLOOKUP(A48,Rebate_Lookup[SKU CODE],Rebate_Lookup[MOQ_1]),
H48&lt;_xlfn.XLOOKUP(A48,Rebate_Lookup[SKU CODE],Rebate_Lookup[MOQ_2])
),
1,
IF(
AND(
H48&gt;=_xlfn.XLOOKUP(A48,Rebate_Lookup[SKU CODE],Rebate_Lookup[MOQ_2]),
OR(
_xlfn.XLOOKUP(A48,Rebate_Lookup[SKU CODE],Rebate_Lookup[MOQ_3])=0,
H48&lt;_xlfn.XLOOKUP(A48,Rebate_Lookup[SKU CODE],Rebate_Lookup[MOQ_3])
)
),
2,
IF(
OR(
AND(
_xlfn.XLOOKUP(A48,Rebate_Lookup[SKU CODE],Rebate_Lookup[MOQ_4])=0,
H48&gt;=_xlfn.XLOOKUP(A48,Rebate_Lookup[SKU CODE],Rebate_Lookup[MOQ_3])
),
AND(
_xlfn.XLOOKUP(A48,Rebate_Lookup[SKU CODE],Rebate_Lookup[MOQ_4])&gt;0,
H48&gt;=_xlfn.XLOOKUP(A48,Rebate_Lookup[SKU CODE],Rebate_Lookup[MOQ_3]),
H48&lt;_xlfn.XLOOKUP(A48,Rebate_Lookup[SKU CODE],Rebate_Lookup[MOQ_4])
)
),
3,
IF(
AND(
_xlfn.XLOOKUP(A48,Rebate_Lookup[SKU CODE],Rebate_Lookup[MOQ_4])&gt;0,
H48&gt;=_xlfn.XLOOKUP(A48,Rebate_Lookup[SKU CODE],Rebate_Lookup[MOQ_4])
),
4,
1
)
)
)
)
)
)),
PRICING[Standard Use Rate (oz/M)]
),
2
))</f>
        <v>2</v>
      </c>
      <c r="U48" s="117">
        <f t="shared" si="5"/>
        <v>87.12</v>
      </c>
      <c r="V48" s="45" t="str">
        <f>IF(AND(TRIM(U48)&lt;&gt;"",TRIM(H48)&lt;&gt;""),ROUND(H48*INDEX(PRICING[Package Ounces],MATCH(A48,PRICING[SKU],0))/U48,2),"")</f>
        <v/>
      </c>
      <c r="W48" s="222">
        <f t="shared" si="6"/>
        <v>0</v>
      </c>
      <c r="X48" s="221">
        <f t="shared" si="7"/>
        <v>0</v>
      </c>
      <c r="AA48" s="48"/>
    </row>
    <row r="49" spans="1:27" ht="18.75" customHeight="1" x14ac:dyDescent="0.2">
      <c r="A49" s="174" t="s">
        <v>69</v>
      </c>
      <c r="B49" s="178" t="b">
        <f t="shared" si="0"/>
        <v>0</v>
      </c>
      <c r="D49" s="218" t="str" cm="1">
        <f t="array" ref="D49">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(PRICING[SKU]=$A49)*
            (
                ((PRICING[Rebate $]&lt;&gt;"")*(PRICING[Rebate $]&lt;&gt;0))
                +
                (
                    (
                        ISNUMBER(SEARCH("*Ronstar*FLO*",PRICING[Product]))+
                        ISNUMBER(SEARCH("Altus*",PRICING[Product]))+
                        ISNUMBER(SEARCH("Kontos*",PRICING[Product]))
                    )*
                    (PRICING[Min Qty]&lt;&gt;0)
                )
            )
        )
    ),
    ""
)</f>
        <v>40+ units</v>
      </c>
      <c r="E49" s="215" t="str">
        <f>_xlfn.XLOOKUP(A49, PRICING[SKU], PRICING[Product], "")</f>
        <v xml:space="preserve">Ronstar® FLO </v>
      </c>
      <c r="F49" s="46" t="str">
        <f>_xlfn.XLOOKUP(A49, PRICING[SKU], PRICING[Size], "")</f>
        <v>2.5 gal</v>
      </c>
      <c r="G49" s="40" t="str">
        <f>IF(_xlfn.XLOOKUP(A49,PRICING[SKU],PRICING[Indication])="I","Insecticide",
 IF(_xlfn.XLOOKUP(A49,PRICING[SKU],PRICING[Indication])="H","Herbicide",
 IF(_xlfn.XLOOKUP(A49,PRICING[SKU],PRICING[Indication])="F","Fungicide",
 IF(_xlfn.XLOOKUP(A49,PRICING[SKU],PRICING[Indication])="PGR","PGR",""))))</f>
        <v>Herbicide</v>
      </c>
      <c r="H49" s="47"/>
      <c r="I49" s="41">
        <f>INDEX(PRICING[2026 In-Season Price],MATCH(A49,PRICING[SKU],0))</f>
        <v>409.6</v>
      </c>
      <c r="J49" s="42" t="str">
        <f t="shared" si="1"/>
        <v/>
      </c>
      <c r="K49" s="42">
        <f>INDEX(PRICING[NOW Price],MATCH(A49,PRICING[SKU],0))</f>
        <v>409.6</v>
      </c>
      <c r="L49" s="42" t="str">
        <f t="shared" si="2"/>
        <v/>
      </c>
      <c r="M49" s="43">
        <f>INDEX(Rebate_Lookup[Instances],MATCH(A49,Rebate_Lookup[SKU CODE],0))</f>
        <v>1</v>
      </c>
      <c r="N49" s="43" t="str">
        <f>IF(H49="","",INDEX(Rebate_Lookup[Qualified Rebate Tier],MATCH(A49,Rebate_Lookup[SKU CODE],0)))</f>
        <v/>
      </c>
      <c r="O49" s="42" t="str">
        <f>IF(OR(H49="",N49=""),"",
IF(N49=1,INDEX(Rebate_Lookup[REB_MOQ_1],MATCH(A49,Rebate_Lookup[SKU CODE],0)),
IF(N49=2,INDEX(Rebate_Lookup[REB_MOQ_2],MATCH(A49,Rebate_Lookup[SKU CODE],0)),
IF(N49=3,INDEX(Rebate_Lookup[REB_MOQ_3],MATCH(A49,Rebate_Lookup[SKU CODE],0)),
IF(N49=4,INDEX(Rebate_Lookup[REB_MOQ_4],MATCH(A49,Rebate_Lookup[SKU CODE],0)),
"#err")))))</f>
        <v/>
      </c>
      <c r="P49" s="44" t="str">
        <f>IF(L68&gt;5000,IF(OR(O49=0,O49=""),"",H49*O49),"")</f>
        <v/>
      </c>
      <c r="Q49" s="44" t="str">
        <f>IF(
    H49&gt;0,
    IF(
        OR(
            AND(ISNUMBER(SEARCH("Specticle",E49)),ISNUMBER(SEARCH("FLO",E49))),
            AND(ISNUMBER(SEARCH("Ronstar",E49)),ISNUMBER(SEARCH("FLO",E49)))
        ),
        IF(
            AND(_xlfn.XLOOKUP(A49,PRICING[SKU],PRICING[October Bonus],FALSE),$R$10="YES"),
            ROUND(L49*$G$113,2),
            "N/A"
        ),
        IFERROR(
            IF(
                _xlfn.XLOOKUP(A49,PRICING[SKU],PRICING[October Bonus],FALSE),
                ROUND(L49*SUM($G$109:$G$113),2),
                ROUND(L49*SUM($G$109:$G$112),2)
            ),
            ""
        )
    ),
    ""
)</f>
        <v/>
      </c>
      <c r="R49" s="42" t="str">
        <f t="shared" si="3"/>
        <v/>
      </c>
      <c r="S49" s="203" t="str">
        <f t="shared" si="4"/>
        <v/>
      </c>
      <c r="T49" s="204" cm="1">
        <f t="array" ref="T49">IF(OR(H49="",H49=0),
ROUND(_xlfn.XLOOKUP(1,(PRICING[SKU]=A49)*(PRICING[Set]=1),PRICING[Standard Use Rate (oz/M)]),2),ROUND(
_xlfn.XLOOKUP(
1,
(PRICING[SKU]=A49)*
(PRICING[Set]=IF(
_xlfn.XLOOKUP(A49,Rebate_Lookup[SKU CODE],Rebate_Lookup[MOQ_2])=0,
1,
IF(
AND(
_xlfn.XLOOKUP(A49,Rebate_Lookup[SKU CODE],Rebate_Lookup[MOQ_3])=0,
H49&gt;=_xlfn.XLOOKUP(A49,Rebate_Lookup[SKU CODE],Rebate_Lookup[MOQ_2])
),
2,
IF(
AND(
H49&gt;=_xlfn.XLOOKUP(A49,Rebate_Lookup[SKU CODE],Rebate_Lookup[MOQ_1]),
H49&lt;_xlfn.XLOOKUP(A49,Rebate_Lookup[SKU CODE],Rebate_Lookup[MOQ_2])
),
1,
IF(
AND(
H49&gt;=_xlfn.XLOOKUP(A49,Rebate_Lookup[SKU CODE],Rebate_Lookup[MOQ_2]),
OR(
_xlfn.XLOOKUP(A49,Rebate_Lookup[SKU CODE],Rebate_Lookup[MOQ_3])=0,
H49&lt;_xlfn.XLOOKUP(A49,Rebate_Lookup[SKU CODE],Rebate_Lookup[MOQ_3])
)
),
2,
IF(
OR(
AND(
_xlfn.XLOOKUP(A49,Rebate_Lookup[SKU CODE],Rebate_Lookup[MOQ_4])=0,
H49&gt;=_xlfn.XLOOKUP(A49,Rebate_Lookup[SKU CODE],Rebate_Lookup[MOQ_3])
),
AND(
_xlfn.XLOOKUP(A49,Rebate_Lookup[SKU CODE],Rebate_Lookup[MOQ_4])&gt;0,
H49&gt;=_xlfn.XLOOKUP(A49,Rebate_Lookup[SKU CODE],Rebate_Lookup[MOQ_3]),
H49&lt;_xlfn.XLOOKUP(A49,Rebate_Lookup[SKU CODE],Rebate_Lookup[MOQ_4])
)
),
3,
IF(
AND(
_xlfn.XLOOKUP(A49,Rebate_Lookup[SKU CODE],Rebate_Lookup[MOQ_4])&gt;0,
H49&gt;=_xlfn.XLOOKUP(A49,Rebate_Lookup[SKU CODE],Rebate_Lookup[MOQ_4])
),
4,
1
)
)
)
)
)
)),
PRICING[Standard Use Rate (oz/M)]
),
2
))</f>
        <v>2</v>
      </c>
      <c r="U49" s="117">
        <f t="shared" si="5"/>
        <v>87.12</v>
      </c>
      <c r="V49" s="45" t="str">
        <f>IF(AND(TRIM(U49)&lt;&gt;"",TRIM(H49)&lt;&gt;""),ROUND(H49*INDEX(PRICING[Package Ounces],MATCH(A49,PRICING[SKU],0))/U49,2),"")</f>
        <v/>
      </c>
      <c r="W49" s="222">
        <f t="shared" si="6"/>
        <v>0</v>
      </c>
      <c r="X49" s="221">
        <f t="shared" si="7"/>
        <v>0</v>
      </c>
      <c r="AA49" s="48"/>
    </row>
    <row r="50" spans="1:27" ht="18.75" customHeight="1" x14ac:dyDescent="0.2">
      <c r="A50" s="175">
        <v>11014245</v>
      </c>
      <c r="B50" s="178" t="b">
        <f>H50&gt;0</f>
        <v>0</v>
      </c>
      <c r="D50" s="218" t="str" cm="1">
        <f t="array" ref="D50">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(PRICING[SKU]=$A50)*
            (
                ((PRICING[Rebate $]&lt;&gt;"")*(PRICING[Rebate $]&lt;&gt;0))
                +
                (
                    (
                        ISNUMBER(SEARCH("*Ronstar*FLO*",PRICING[Product]))+
                        ISNUMBER(SEARCH("Altus*",PRICING[Product]))+
                        ISNUMBER(SEARCH("Kontos*",PRICING[Product]))
                    )*
                    (PRICING[Min Qty]&lt;&gt;0)
                )
            )
        )
    ),
    ""
)</f>
        <v>$5.00 off on 1-7 units; $25.00 off on 8+ units</v>
      </c>
      <c r="E50" s="215" t="str">
        <f>_xlfn.XLOOKUP(A50, PRICING[SKU], PRICING[Product], "")</f>
        <v xml:space="preserve">Serata® Fungicide </v>
      </c>
      <c r="F50" s="46" t="str">
        <f>_xlfn.XLOOKUP(A50, PRICING[SKU], PRICING[Size], "")</f>
        <v>35 oz</v>
      </c>
      <c r="G50" s="40" t="str">
        <f>IF(_xlfn.XLOOKUP(A50,PRICING[SKU],PRICING[Indication])="I","Insecticide",
 IF(_xlfn.XLOOKUP(A50,PRICING[SKU],PRICING[Indication])="H","Herbicide",
 IF(_xlfn.XLOOKUP(A50,PRICING[SKU],PRICING[Indication])="F","Fungicide",
 IF(_xlfn.XLOOKUP(A50,PRICING[SKU],PRICING[Indication])="PGR","PGR",""))))</f>
        <v>Fungicide</v>
      </c>
      <c r="H50" s="47"/>
      <c r="I50" s="41">
        <f>INDEX(PRICING[2026 In-Season Price],MATCH(A50,PRICING[SKU],0))</f>
        <v>546</v>
      </c>
      <c r="J50" s="42" t="str">
        <f>IF(H50*I50= 0,"",H50*I50)</f>
        <v/>
      </c>
      <c r="K50" s="42">
        <f>INDEX(PRICING[NOW Price],MATCH(A50,PRICING[SKU],0))</f>
        <v>546</v>
      </c>
      <c r="L50" s="42" t="str">
        <f>IF(H50*K50= 0,"",ROUND(H50*K50,2))</f>
        <v/>
      </c>
      <c r="M50" s="43">
        <f>INDEX(Rebate_Lookup[Instances],MATCH(A50,Rebate_Lookup[SKU CODE],0))</f>
        <v>2</v>
      </c>
      <c r="N50" s="43" t="str">
        <f>IF(H50="","",INDEX(Rebate_Lookup[Qualified Rebate Tier],MATCH(A50,Rebate_Lookup[SKU CODE],0)))</f>
        <v/>
      </c>
      <c r="O50" s="42" t="str">
        <f>IF(OR(H50="",N50=""),"",
IF(N50=1,INDEX(Rebate_Lookup[REB_MOQ_1],MATCH(A50,Rebate_Lookup[SKU CODE],0)),
IF(N50=2,INDEX(Rebate_Lookup[REB_MOQ_2],MATCH(A50,Rebate_Lookup[SKU CODE],0)),
IF(N50=3,INDEX(Rebate_Lookup[REB_MOQ_3],MATCH(A50,Rebate_Lookup[SKU CODE],0)),
IF(N50=4,INDEX(Rebate_Lookup[REB_MOQ_4],MATCH(A50,Rebate_Lookup[SKU CODE],0)),
"#err")))))</f>
        <v/>
      </c>
      <c r="P50" s="44" t="str">
        <f>IF(L68&gt;5000,IF(OR(O50=0,O50=""),"",H50*O50),"")</f>
        <v/>
      </c>
      <c r="Q50" s="44" t="str">
        <f>IF(
    H50&gt;0,
    IF(
        OR(
            AND(ISNUMBER(SEARCH("Specticle",E50)),ISNUMBER(SEARCH("FLO",E50))),
            AND(ISNUMBER(SEARCH("Ronstar",E50)),ISNUMBER(SEARCH("FLO",E50)))
        ),
        IF(
            AND(_xlfn.XLOOKUP(A50,PRICING[SKU],PRICING[October Bonus],FALSE),$R$10="YES"),
            ROUND(L50*$G$113,2),
            "N/A"
        ),
        IFERROR(
            IF(
                _xlfn.XLOOKUP(A50,PRICING[SKU],PRICING[October Bonus],FALSE),
                ROUND(L50*SUM($G$109:$G$113),2),
                ROUND(L50*SUM($G$109:$G$112),2)
            ),
            ""
        )
    ),
    ""
)</f>
        <v/>
      </c>
      <c r="R50" s="42" t="str">
        <f>IFERROR(ROUND((L50-SUM(P50:Q50))/H50,2),"")</f>
        <v/>
      </c>
      <c r="S50" s="203" t="str">
        <f>IF(AND(H50&lt;&gt;"",H50&gt;0), ROUND(H50*R50,2),"")</f>
        <v/>
      </c>
      <c r="T50" s="204" cm="1">
        <f t="array" ref="T50">IF(OR(H50="",H50=0),
ROUND(_xlfn.XLOOKUP(1,(PRICING[SKU]=A50)*(PRICING[Set]=1),PRICING[Standard Use Rate (oz/M)]),2),ROUND(
_xlfn.XLOOKUP(
1,
(PRICING[SKU]=A50)*
(PRICING[Set]=IF(
_xlfn.XLOOKUP(A50,Rebate_Lookup[SKU CODE],Rebate_Lookup[MOQ_2])=0,
1,
IF(
AND(
_xlfn.XLOOKUP(A50,Rebate_Lookup[SKU CODE],Rebate_Lookup[MOQ_3])=0,
H50&gt;=_xlfn.XLOOKUP(A50,Rebate_Lookup[SKU CODE],Rebate_Lookup[MOQ_2])
),
2,
IF(
AND(
H50&gt;=_xlfn.XLOOKUP(A50,Rebate_Lookup[SKU CODE],Rebate_Lookup[MOQ_1]),
H50&lt;_xlfn.XLOOKUP(A50,Rebate_Lookup[SKU CODE],Rebate_Lookup[MOQ_2])
),
1,
IF(
AND(
H50&gt;=_xlfn.XLOOKUP(A50,Rebate_Lookup[SKU CODE],Rebate_Lookup[MOQ_2]),
OR(
_xlfn.XLOOKUP(A50,Rebate_Lookup[SKU CODE],Rebate_Lookup[MOQ_3])=0,
H50&lt;_xlfn.XLOOKUP(A50,Rebate_Lookup[SKU CODE],Rebate_Lookup[MOQ_3])
)
),
2,
IF(
OR(
AND(
_xlfn.XLOOKUP(A50,Rebate_Lookup[SKU CODE],Rebate_Lookup[MOQ_4])=0,
H50&gt;=_xlfn.XLOOKUP(A50,Rebate_Lookup[SKU CODE],Rebate_Lookup[MOQ_3])
),
AND(
_xlfn.XLOOKUP(A50,Rebate_Lookup[SKU CODE],Rebate_Lookup[MOQ_4])&gt;0,
H50&gt;=_xlfn.XLOOKUP(A50,Rebate_Lookup[SKU CODE],Rebate_Lookup[MOQ_3]),
H50&lt;_xlfn.XLOOKUP(A50,Rebate_Lookup[SKU CODE],Rebate_Lookup[MOQ_4])
)
),
3,
IF(
AND(
_xlfn.XLOOKUP(A50,Rebate_Lookup[SKU CODE],Rebate_Lookup[MOQ_4])&gt;0,
H50&gt;=_xlfn.XLOOKUP(A50,Rebate_Lookup[SKU CODE],Rebate_Lookup[MOQ_4])
),
4,
1
)
)
)
)
)
)),
PRICING[Standard Use Rate (oz/M)]
),
2
))</f>
        <v>0.6</v>
      </c>
      <c r="U50" s="117">
        <f t="shared" si="5"/>
        <v>26.14</v>
      </c>
      <c r="V50" s="45" t="str">
        <f>IF(AND(TRIM(U50)&lt;&gt;"",TRIM(H50)&lt;&gt;""),ROUND(H50*INDEX(PRICING[Package Ounces],MATCH(A50,PRICING[SKU],0))/U50,2),"")</f>
        <v/>
      </c>
      <c r="W50" s="222">
        <f>IF(H50&lt;&gt;0,ROUND(S50/V50,2),0)</f>
        <v>0</v>
      </c>
      <c r="X50" s="221">
        <f t="shared" si="7"/>
        <v>0</v>
      </c>
      <c r="AA50" s="48"/>
    </row>
    <row r="51" spans="1:27" ht="18.75" customHeight="1" x14ac:dyDescent="0.2">
      <c r="A51" s="175" t="s">
        <v>70</v>
      </c>
      <c r="B51" s="178" t="b">
        <f>H51&gt;0</f>
        <v>0</v>
      </c>
      <c r="D51" s="218" t="str" cm="1">
        <f t="array" ref="D51">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(PRICING[SKU]=$A51)*
            (
                ((PRICING[Rebate $]&lt;&gt;"")*(PRICING[Rebate $]&lt;&gt;0))
                +
                (
                    (
                        ISNUMBER(SEARCH("*Ronstar*FLO*",PRICING[Product]))+
                        ISNUMBER(SEARCH("Altus*",PRICING[Product]))+
                        ISNUMBER(SEARCH("Kontos*",PRICING[Product]))
                    )*
                    (PRICING[Min Qty]&lt;&gt;0)
                )
            )
        )
    ),
    ""
)</f>
        <v>$4.00 off on 1-23 units; $12.00 off on 24+ units</v>
      </c>
      <c r="E51" s="215" t="str">
        <f>_xlfn.XLOOKUP(A51, PRICING[SKU], PRICING[Product], "")</f>
        <v xml:space="preserve">Signature™ XTRA Stressgard® </v>
      </c>
      <c r="F51" s="46" t="str">
        <f>_xlfn.XLOOKUP(A51, PRICING[SKU], PRICING[Size], "")</f>
        <v>5.5 lb</v>
      </c>
      <c r="G51" s="40" t="str">
        <f>IF(_xlfn.XLOOKUP(A51,PRICING[SKU],PRICING[Indication])="I","Insecticide",
 IF(_xlfn.XLOOKUP(A51,PRICING[SKU],PRICING[Indication])="H","Herbicide",
 IF(_xlfn.XLOOKUP(A51,PRICING[SKU],PRICING[Indication])="F","Fungicide",
 IF(_xlfn.XLOOKUP(A51,PRICING[SKU],PRICING[Indication])="PGR","PGR",""))))</f>
        <v>Fungicide</v>
      </c>
      <c r="H51" s="47"/>
      <c r="I51" s="41">
        <f>INDEX(PRICING[2026 In-Season Price],MATCH(A51,PRICING[SKU],0))</f>
        <v>224.35</v>
      </c>
      <c r="J51" s="42" t="str">
        <f>IF(H51*I51= 0,"",H51*I51)</f>
        <v/>
      </c>
      <c r="K51" s="42">
        <f>INDEX(PRICING[NOW Price],MATCH(A51,PRICING[SKU],0))</f>
        <v>224.35</v>
      </c>
      <c r="L51" s="42" t="str">
        <f>IF(H51*K51= 0,"",ROUND(H51*K51,2))</f>
        <v/>
      </c>
      <c r="M51" s="43">
        <f>INDEX(Rebate_Lookup[Instances],MATCH(A51,Rebate_Lookup[SKU CODE],0))</f>
        <v>2</v>
      </c>
      <c r="N51" s="43" t="str">
        <f>IF(H51="","",INDEX(Rebate_Lookup[Qualified Rebate Tier],MATCH(A51,Rebate_Lookup[SKU CODE],0)))</f>
        <v/>
      </c>
      <c r="O51" s="42" t="str">
        <f>IF(OR(H51="",N51=""),"",
IF(N51=1,INDEX(Rebate_Lookup[REB_MOQ_1],MATCH(A51,Rebate_Lookup[SKU CODE],0)),
IF(N51=2,INDEX(Rebate_Lookup[REB_MOQ_2],MATCH(A51,Rebate_Lookup[SKU CODE],0)),
IF(N51=3,INDEX(Rebate_Lookup[REB_MOQ_3],MATCH(A51,Rebate_Lookup[SKU CODE],0)),
IF(N51=4,INDEX(Rebate_Lookup[REB_MOQ_4],MATCH(A51,Rebate_Lookup[SKU CODE],0)),
"#err")))))</f>
        <v/>
      </c>
      <c r="P51" s="44" t="str">
        <f>IF(L68&gt;5000,IF(OR(O51=0,O51=""),"",H51*O51),"")</f>
        <v/>
      </c>
      <c r="Q51" s="44" t="str">
        <f>IF(
    H51&gt;0,
    IF(
        OR(
            AND(ISNUMBER(SEARCH("Specticle",E51)),ISNUMBER(SEARCH("FLO",E51))),
            AND(ISNUMBER(SEARCH("Ronstar",E51)),ISNUMBER(SEARCH("FLO",E51)))
        ),
        IF(
            AND(_xlfn.XLOOKUP(A51,PRICING[SKU],PRICING[October Bonus],FALSE),$R$10="YES"),
            ROUND(L51*$G$113,2),
            "N/A"
        ),
        IFERROR(
            IF(
                _xlfn.XLOOKUP(A51,PRICING[SKU],PRICING[October Bonus],FALSE),
                ROUND(L51*SUM($G$109:$G$113),2),
                ROUND(L51*SUM($G$109:$G$112),2)
            ),
            ""
        )
    ),
    ""
)</f>
        <v/>
      </c>
      <c r="R51" s="42" t="str">
        <f>IFERROR(ROUND((L51-SUM(P51:Q51))/H51,2),"")</f>
        <v/>
      </c>
      <c r="S51" s="203" t="str">
        <f>IF(AND(H51&lt;&gt;"",H51&gt;0), ROUND(H51*R51,2),"")</f>
        <v/>
      </c>
      <c r="T51" s="204" cm="1">
        <f t="array" ref="T51">IF(OR(H51="",H51=0),
ROUND(_xlfn.XLOOKUP(1,(PRICING[SKU]=A51)*(PRICING[Set]=1),PRICING[Standard Use Rate (oz/M)]),2),ROUND(
_xlfn.XLOOKUP(
1,
(PRICING[SKU]=A51)*
(PRICING[Set]=IF(
_xlfn.XLOOKUP(A51,Rebate_Lookup[SKU CODE],Rebate_Lookup[MOQ_2])=0,
1,
IF(
AND(
_xlfn.XLOOKUP(A51,Rebate_Lookup[SKU CODE],Rebate_Lookup[MOQ_3])=0,
H51&gt;=_xlfn.XLOOKUP(A51,Rebate_Lookup[SKU CODE],Rebate_Lookup[MOQ_2])
),
2,
IF(
AND(
H51&gt;=_xlfn.XLOOKUP(A51,Rebate_Lookup[SKU CODE],Rebate_Lookup[MOQ_1]),
H51&lt;_xlfn.XLOOKUP(A51,Rebate_Lookup[SKU CODE],Rebate_Lookup[MOQ_2])
),
1,
IF(
AND(
H51&gt;=_xlfn.XLOOKUP(A51,Rebate_Lookup[SKU CODE],Rebate_Lookup[MOQ_2]),
OR(
_xlfn.XLOOKUP(A51,Rebate_Lookup[SKU CODE],Rebate_Lookup[MOQ_3])=0,
H51&lt;_xlfn.XLOOKUP(A51,Rebate_Lookup[SKU CODE],Rebate_Lookup[MOQ_3])
)
),
2,
IF(
OR(
AND(
_xlfn.XLOOKUP(A51,Rebate_Lookup[SKU CODE],Rebate_Lookup[MOQ_4])=0,
H51&gt;=_xlfn.XLOOKUP(A51,Rebate_Lookup[SKU CODE],Rebate_Lookup[MOQ_3])
),
AND(
_xlfn.XLOOKUP(A51,Rebate_Lookup[SKU CODE],Rebate_Lookup[MOQ_4])&gt;0,
H51&gt;=_xlfn.XLOOKUP(A51,Rebate_Lookup[SKU CODE],Rebate_Lookup[MOQ_3]),
H51&lt;_xlfn.XLOOKUP(A51,Rebate_Lookup[SKU CODE],Rebate_Lookup[MOQ_4])
)
),
3,
IF(
AND(
_xlfn.XLOOKUP(A51,Rebate_Lookup[SKU CODE],Rebate_Lookup[MOQ_4])&gt;0,
H51&gt;=_xlfn.XLOOKUP(A51,Rebate_Lookup[SKU CODE],Rebate_Lookup[MOQ_4])
),
4,
1
)
)
)
)
)
)),
PRICING[Standard Use Rate (oz/M)]
),
2
))</f>
        <v>4</v>
      </c>
      <c r="U51" s="117">
        <f t="shared" si="5"/>
        <v>174.24</v>
      </c>
      <c r="V51" s="45" t="str">
        <f>IF(AND(TRIM(U51)&lt;&gt;"",TRIM(H51)&lt;&gt;""),ROUND(H51*INDEX(PRICING[Package Ounces],MATCH(A51,PRICING[SKU],0))/U51,2),"")</f>
        <v/>
      </c>
      <c r="W51" s="222">
        <f>IF(H51&lt;&gt;0,ROUND(S51/V51,2),0)</f>
        <v>0</v>
      </c>
      <c r="X51" s="221">
        <f t="shared" si="7"/>
        <v>0</v>
      </c>
      <c r="AA51" s="48"/>
    </row>
    <row r="52" spans="1:27" ht="18.75" customHeight="1" x14ac:dyDescent="0.2">
      <c r="A52" s="181" t="s">
        <v>71</v>
      </c>
      <c r="B52" s="178" t="b">
        <f t="shared" si="0"/>
        <v>0</v>
      </c>
      <c r="D52" s="218" t="str" cm="1">
        <f t="array" ref="D52">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(PRICING[SKU]=$A52)*
            (
                ((PRICING[Rebate $]&lt;&gt;"")*(PRICING[Rebate $]&lt;&gt;0))
                +
                (
                    (
                        ISNUMBER(SEARCH("*Ronstar*FLO*",PRICING[Product]))+
                        ISNUMBER(SEARCH("Altus*",PRICING[Product]))+
                        ISNUMBER(SEARCH("Kontos*",PRICING[Product]))
                    )*
                    (PRICING[Min Qty]&lt;&gt;0)
                )
            )
        )
    ),
    ""
)</f>
        <v>$4.00 off on 1-23 units; $12.00 off on 24+ units</v>
      </c>
      <c r="E52" s="215" t="str">
        <f>_xlfn.XLOOKUP(A52, PRICING[SKU], PRICING[Product], "")</f>
        <v>Signature™ XTRA Stressgard® Liquid</v>
      </c>
      <c r="F52" s="46" t="str">
        <f>_xlfn.XLOOKUP(A52, PRICING[SKU], PRICING[Size], "")</f>
        <v>98 oz</v>
      </c>
      <c r="G52" s="40" t="str">
        <f>IF(_xlfn.XLOOKUP(A52,PRICING[SKU],PRICING[Indication])="I","Insecticide",
 IF(_xlfn.XLOOKUP(A52,PRICING[SKU],PRICING[Indication])="H","Herbicide",
 IF(_xlfn.XLOOKUP(A52,PRICING[SKU],PRICING[Indication])="F","Fungicide",
 IF(_xlfn.XLOOKUP(A52,PRICING[SKU],PRICING[Indication])="PGR","PGR",""))))</f>
        <v>Fungicide</v>
      </c>
      <c r="H52" s="47"/>
      <c r="I52" s="41">
        <f>INDEX(PRICING[2026 In-Season Price],MATCH(A52,PRICING[SKU],0))</f>
        <v>235.2</v>
      </c>
      <c r="J52" s="42" t="str">
        <f t="shared" si="1"/>
        <v/>
      </c>
      <c r="K52" s="42">
        <f>INDEX(PRICING[NOW Price],MATCH(A52,PRICING[SKU],0))</f>
        <v>235.2</v>
      </c>
      <c r="L52" s="42" t="str">
        <f t="shared" si="2"/>
        <v/>
      </c>
      <c r="M52" s="43">
        <f>INDEX(Rebate_Lookup[Instances],MATCH(A52,Rebate_Lookup[SKU CODE],0))</f>
        <v>2</v>
      </c>
      <c r="N52" s="43" t="str">
        <f>IF(H52="","",INDEX(Rebate_Lookup[Qualified Rebate Tier],MATCH(A52,Rebate_Lookup[SKU CODE],0)))</f>
        <v/>
      </c>
      <c r="O52" s="42" t="str">
        <f>IF(OR(H52="",N52=""),"",
IF(N52=1,INDEX(Rebate_Lookup[REB_MOQ_1],MATCH(A52,Rebate_Lookup[SKU CODE],0)),
IF(N52=2,INDEX(Rebate_Lookup[REB_MOQ_2],MATCH(A52,Rebate_Lookup[SKU CODE],0)),
IF(N52=3,INDEX(Rebate_Lookup[REB_MOQ_3],MATCH(A52,Rebate_Lookup[SKU CODE],0)),
IF(N52=4,INDEX(Rebate_Lookup[REB_MOQ_4],MATCH(A52,Rebate_Lookup[SKU CODE],0)),
"#err")))))</f>
        <v/>
      </c>
      <c r="P52" s="44" t="str">
        <f>IF(L68&gt;5000,IF(OR(O52=0,O52=""),"",H52*O52),"")</f>
        <v/>
      </c>
      <c r="Q52" s="44" t="str">
        <f>IF(
    H52&gt;0,
    IF(
        OR(
            AND(ISNUMBER(SEARCH("Specticle",E52)),ISNUMBER(SEARCH("FLO",E52))),
            AND(ISNUMBER(SEARCH("Ronstar",E52)),ISNUMBER(SEARCH("FLO",E52)))
        ),
        IF(
            AND(_xlfn.XLOOKUP(A52,PRICING[SKU],PRICING[October Bonus],FALSE),$R$10="YES"),
            ROUND(L52*$G$113,2),
            "N/A"
        ),
        IFERROR(
            IF(
                _xlfn.XLOOKUP(A52,PRICING[SKU],PRICING[October Bonus],FALSE),
                ROUND(L52*SUM($G$109:$G$113),2),
                ROUND(L52*SUM($G$109:$G$112),2)
            ),
            ""
        )
    ),
    ""
)</f>
        <v/>
      </c>
      <c r="R52" s="42" t="str">
        <f t="shared" si="3"/>
        <v/>
      </c>
      <c r="S52" s="203" t="str">
        <f t="shared" si="4"/>
        <v/>
      </c>
      <c r="T52" s="204" cm="1">
        <f t="array" ref="T52">IF(OR(H52="",H52=0),
ROUND(_xlfn.XLOOKUP(1,(PRICING[SKU]=A52)*(PRICING[Set]=1),PRICING[Standard Use Rate (oz/M)]),2),ROUND(
_xlfn.XLOOKUP(
1,
(PRICING[SKU]=A52)*
(PRICING[Set]=IF(
_xlfn.XLOOKUP(A52,Rebate_Lookup[SKU CODE],Rebate_Lookup[MOQ_2])=0,
1,
IF(
AND(
_xlfn.XLOOKUP(A52,Rebate_Lookup[SKU CODE],Rebate_Lookup[MOQ_3])=0,
H52&gt;=_xlfn.XLOOKUP(A52,Rebate_Lookup[SKU CODE],Rebate_Lookup[MOQ_2])
),
2,
IF(
AND(
H52&gt;=_xlfn.XLOOKUP(A52,Rebate_Lookup[SKU CODE],Rebate_Lookup[MOQ_1]),
H52&lt;_xlfn.XLOOKUP(A52,Rebate_Lookup[SKU CODE],Rebate_Lookup[MOQ_2])
),
1,
IF(
AND(
H52&gt;=_xlfn.XLOOKUP(A52,Rebate_Lookup[SKU CODE],Rebate_Lookup[MOQ_2]),
OR(
_xlfn.XLOOKUP(A52,Rebate_Lookup[SKU CODE],Rebate_Lookup[MOQ_3])=0,
H52&lt;_xlfn.XLOOKUP(A52,Rebate_Lookup[SKU CODE],Rebate_Lookup[MOQ_3])
)
),
2,
IF(
OR(
AND(
_xlfn.XLOOKUP(A52,Rebate_Lookup[SKU CODE],Rebate_Lookup[MOQ_4])=0,
H52&gt;=_xlfn.XLOOKUP(A52,Rebate_Lookup[SKU CODE],Rebate_Lookup[MOQ_3])
),
AND(
_xlfn.XLOOKUP(A52,Rebate_Lookup[SKU CODE],Rebate_Lookup[MOQ_4])&gt;0,
H52&gt;=_xlfn.XLOOKUP(A52,Rebate_Lookup[SKU CODE],Rebate_Lookup[MOQ_3]),
H52&lt;_xlfn.XLOOKUP(A52,Rebate_Lookup[SKU CODE],Rebate_Lookup[MOQ_4])
)
),
3,
IF(
AND(
_xlfn.XLOOKUP(A52,Rebate_Lookup[SKU CODE],Rebate_Lookup[MOQ_4])&gt;0,
H52&gt;=_xlfn.XLOOKUP(A52,Rebate_Lookup[SKU CODE],Rebate_Lookup[MOQ_4])
),
4,
1
)
)
)
)
)
)),
PRICING[Standard Use Rate (oz/M)]
),
2
))</f>
        <v>4.5</v>
      </c>
      <c r="U52" s="117">
        <f t="shared" si="5"/>
        <v>196.02</v>
      </c>
      <c r="V52" s="45" t="str">
        <f>IF(AND(TRIM(U52)&lt;&gt;"",TRIM(H52)&lt;&gt;""),ROUND(H52*INDEX(PRICING[Package Ounces],MATCH(A52,PRICING[SKU],0))/U52,2),"")</f>
        <v/>
      </c>
      <c r="W52" s="222">
        <f t="shared" si="6"/>
        <v>0</v>
      </c>
      <c r="X52" s="221">
        <f t="shared" si="7"/>
        <v>0</v>
      </c>
      <c r="AA52" s="48"/>
    </row>
    <row r="53" spans="1:27" ht="18.75" customHeight="1" x14ac:dyDescent="0.2">
      <c r="A53" s="175">
        <v>11008522</v>
      </c>
      <c r="B53" s="178" t="b">
        <f t="shared" si="0"/>
        <v>0</v>
      </c>
      <c r="D53" s="218" t="str" cm="1">
        <f t="array" ref="D53">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(PRICING[SKU]=$A53)*
            (
                ((PRICING[Rebate $]&lt;&gt;"")*(PRICING[Rebate $]&lt;&gt;0))
                +
                (
                    (
                        ISNUMBER(SEARCH("*Ronstar*FLO*",PRICING[Product]))+
                        ISNUMBER(SEARCH("Altus*",PRICING[Product]))+
                        ISNUMBER(SEARCH("Kontos*",PRICING[Product]))
                    )*
                    (PRICING[Min Qty]&lt;&gt;0)
                )
            )
        )
    ),
    ""
)</f>
        <v>$32.00 off on 8+ units</v>
      </c>
      <c r="E53" s="215" t="str">
        <f>_xlfn.XLOOKUP(A53, PRICING[SKU], PRICING[Product], "")</f>
        <v xml:space="preserve">Solitare® Herbicide </v>
      </c>
      <c r="F53" s="46" t="str">
        <f>_xlfn.XLOOKUP(A53, PRICING[SKU], PRICING[Size], "")</f>
        <v>4 lb</v>
      </c>
      <c r="G53" s="40" t="str">
        <f>IF(_xlfn.XLOOKUP(A53,PRICING[SKU],PRICING[Indication])="I","Insecticide",
 IF(_xlfn.XLOOKUP(A53,PRICING[SKU],PRICING[Indication])="H","Herbicide",
 IF(_xlfn.XLOOKUP(A53,PRICING[SKU],PRICING[Indication])="F","Fungicide",
 IF(_xlfn.XLOOKUP(A53,PRICING[SKU],PRICING[Indication])="PGR","PGR",""))))</f>
        <v>Herbicide</v>
      </c>
      <c r="H53" s="47"/>
      <c r="I53" s="41">
        <f>INDEX(PRICING[2026 In-Season Price],MATCH(A53,PRICING[SKU],0))</f>
        <v>611.08000000000004</v>
      </c>
      <c r="J53" s="42" t="str">
        <f t="shared" si="1"/>
        <v/>
      </c>
      <c r="K53" s="42">
        <f>INDEX(PRICING[NOW Price],MATCH(A53,PRICING[SKU],0))</f>
        <v>611.08000000000004</v>
      </c>
      <c r="L53" s="42" t="str">
        <f t="shared" si="2"/>
        <v/>
      </c>
      <c r="M53" s="43">
        <f>INDEX(Rebate_Lookup[Instances],MATCH(A53,Rebate_Lookup[SKU CODE],0))</f>
        <v>2</v>
      </c>
      <c r="N53" s="43" t="str">
        <f>IF(H53="","",INDEX(Rebate_Lookup[Qualified Rebate Tier],MATCH(A53,Rebate_Lookup[SKU CODE],0)))</f>
        <v/>
      </c>
      <c r="O53" s="42" t="str">
        <f>IF(OR(H53="",N53=""),"",
IF(N53=1,INDEX(Rebate_Lookup[REB_MOQ_1],MATCH(A53,Rebate_Lookup[SKU CODE],0)),
IF(N53=2,INDEX(Rebate_Lookup[REB_MOQ_2],MATCH(A53,Rebate_Lookup[SKU CODE],0)),
IF(N53=3,INDEX(Rebate_Lookup[REB_MOQ_3],MATCH(A53,Rebate_Lookup[SKU CODE],0)),
IF(N53=4,INDEX(Rebate_Lookup[REB_MOQ_4],MATCH(A53,Rebate_Lookup[SKU CODE],0)),
"#err")))))</f>
        <v/>
      </c>
      <c r="P53" s="44" t="str">
        <f>IF(L68&gt;5000,IF(OR(O53=0,O53=""),"",H53*O53),"")</f>
        <v/>
      </c>
      <c r="Q53" s="44" t="str">
        <f>IF(
    H53&gt;0,
    IF(
        OR(
            AND(ISNUMBER(SEARCH("Specticle",E53)),ISNUMBER(SEARCH("FLO",E53))),
            AND(ISNUMBER(SEARCH("Ronstar",E53)),ISNUMBER(SEARCH("FLO",E53)))
        ),
        IF(
            AND(_xlfn.XLOOKUP(A53,PRICING[SKU],PRICING[October Bonus],FALSE),$R$10="YES"),
            ROUND(L53*$G$113,2),
            "N/A"
        ),
        IFERROR(
            IF(
                _xlfn.XLOOKUP(A53,PRICING[SKU],PRICING[October Bonus],FALSE),
                ROUND(L53*SUM($G$109:$G$113),2),
                ROUND(L53*SUM($G$109:$G$112),2)
            ),
            ""
        )
    ),
    ""
)</f>
        <v/>
      </c>
      <c r="R53" s="42" t="str">
        <f t="shared" si="3"/>
        <v/>
      </c>
      <c r="S53" s="203" t="str">
        <f t="shared" si="4"/>
        <v/>
      </c>
      <c r="T53" s="204" cm="1">
        <f t="array" ref="T53">IF(OR(H53="",H53=0),
ROUND(_xlfn.XLOOKUP(1,(PRICING[SKU]=A53)*(PRICING[Set]=1),PRICING[Standard Use Rate (oz/M)]),2),ROUND(
_xlfn.XLOOKUP(
1,
(PRICING[SKU]=A53)*
(PRICING[Set]=IF(
_xlfn.XLOOKUP(A53,Rebate_Lookup[SKU CODE],Rebate_Lookup[MOQ_2])=0,
1,
IF(
AND(
_xlfn.XLOOKUP(A53,Rebate_Lookup[SKU CODE],Rebate_Lookup[MOQ_3])=0,
H53&gt;=_xlfn.XLOOKUP(A53,Rebate_Lookup[SKU CODE],Rebate_Lookup[MOQ_2])
),
2,
IF(
AND(
H53&gt;=_xlfn.XLOOKUP(A53,Rebate_Lookup[SKU CODE],Rebate_Lookup[MOQ_1]),
H53&lt;_xlfn.XLOOKUP(A53,Rebate_Lookup[SKU CODE],Rebate_Lookup[MOQ_2])
),
1,
IF(
AND(
H53&gt;=_xlfn.XLOOKUP(A53,Rebate_Lookup[SKU CODE],Rebate_Lookup[MOQ_2]),
OR(
_xlfn.XLOOKUP(A53,Rebate_Lookup[SKU CODE],Rebate_Lookup[MOQ_3])=0,
H53&lt;_xlfn.XLOOKUP(A53,Rebate_Lookup[SKU CODE],Rebate_Lookup[MOQ_3])
)
),
2,
IF(
OR(
AND(
_xlfn.XLOOKUP(A53,Rebate_Lookup[SKU CODE],Rebate_Lookup[MOQ_4])=0,
H53&gt;=_xlfn.XLOOKUP(A53,Rebate_Lookup[SKU CODE],Rebate_Lookup[MOQ_3])
),
AND(
_xlfn.XLOOKUP(A53,Rebate_Lookup[SKU CODE],Rebate_Lookup[MOQ_4])&gt;0,
H53&gt;=_xlfn.XLOOKUP(A53,Rebate_Lookup[SKU CODE],Rebate_Lookup[MOQ_3]),
H53&lt;_xlfn.XLOOKUP(A53,Rebate_Lookup[SKU CODE],Rebate_Lookup[MOQ_4])
)
),
3,
IF(
AND(
_xlfn.XLOOKUP(A53,Rebate_Lookup[SKU CODE],Rebate_Lookup[MOQ_4])&gt;0,
H53&gt;=_xlfn.XLOOKUP(A53,Rebate_Lookup[SKU CODE],Rebate_Lookup[MOQ_4])
),
4,
1
)
)
)
)
)
)),
PRICING[Standard Use Rate (oz/M)]
),
2
))</f>
        <v>2</v>
      </c>
      <c r="U53" s="117">
        <f t="shared" si="5"/>
        <v>87.12</v>
      </c>
      <c r="V53" s="45" t="str">
        <f>IF(AND(TRIM(U53)&lt;&gt;"",TRIM(H53)&lt;&gt;""),ROUND(H53*INDEX(PRICING[Package Ounces],MATCH(A53,PRICING[SKU],0))/U53,2),"")</f>
        <v/>
      </c>
      <c r="W53" s="222">
        <f t="shared" si="6"/>
        <v>0</v>
      </c>
      <c r="X53" s="221">
        <f t="shared" si="7"/>
        <v>0</v>
      </c>
      <c r="AA53" s="48"/>
    </row>
    <row r="54" spans="1:27" ht="18.75" customHeight="1" x14ac:dyDescent="0.2">
      <c r="A54" s="175">
        <v>11013862</v>
      </c>
      <c r="B54" s="178" t="b">
        <f t="shared" si="0"/>
        <v>0</v>
      </c>
      <c r="D54" s="218" t="str" cm="1">
        <f t="array" ref="D54">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(PRICING[SKU]=$A54)*
            (
                ((PRICING[Rebate $]&lt;&gt;"")*(PRICING[Rebate $]&lt;&gt;0))
                +
                (
                    (
                        ISNUMBER(SEARCH("*Ronstar*FLO*",PRICING[Product]))+
                        ISNUMBER(SEARCH("Altus*",PRICING[Product]))+
                        ISNUMBER(SEARCH("Kontos*",PRICING[Product]))
                    )*
                    (PRICING[Min Qty]&lt;&gt;0)
                )
            )
        )
    ),
    ""
)</f>
        <v>$10.00 off on 1+ units</v>
      </c>
      <c r="E54" s="215" t="str">
        <f>_xlfn.XLOOKUP(A54, PRICING[SKU], PRICING[Product], "")</f>
        <v>Solitare® WSL Herbicide</v>
      </c>
      <c r="F54" s="46" t="str">
        <f>_xlfn.XLOOKUP(A54, PRICING[SKU], PRICING[Size], "")</f>
        <v>2.5 gal</v>
      </c>
      <c r="G54" s="40" t="str">
        <f>IF(_xlfn.XLOOKUP(A54,PRICING[SKU],PRICING[Indication])="I","Insecticide",
 IF(_xlfn.XLOOKUP(A54,PRICING[SKU],PRICING[Indication])="H","Herbicide",
 IF(_xlfn.XLOOKUP(A54,PRICING[SKU],PRICING[Indication])="F","Fungicide",
 IF(_xlfn.XLOOKUP(A54,PRICING[SKU],PRICING[Indication])="PGR","PGR",""))))</f>
        <v>Herbicide</v>
      </c>
      <c r="H54" s="47"/>
      <c r="I54" s="41">
        <f>INDEX(PRICING[2026 In-Season Price],MATCH(A54,PRICING[SKU],0))</f>
        <v>268.8</v>
      </c>
      <c r="J54" s="42" t="str">
        <f t="shared" si="1"/>
        <v/>
      </c>
      <c r="K54" s="42">
        <f>INDEX(PRICING[NOW Price],MATCH(A54,PRICING[SKU],0))</f>
        <v>268.8</v>
      </c>
      <c r="L54" s="42" t="str">
        <f t="shared" si="2"/>
        <v/>
      </c>
      <c r="M54" s="43">
        <f>INDEX(Rebate_Lookup[Instances],MATCH(A54,Rebate_Lookup[SKU CODE],0))</f>
        <v>1</v>
      </c>
      <c r="N54" s="43" t="str">
        <f>IF(H54="","",INDEX(Rebate_Lookup[Qualified Rebate Tier],MATCH(A54,Rebate_Lookup[SKU CODE],0)))</f>
        <v/>
      </c>
      <c r="O54" s="42" t="str">
        <f>IF(OR(H54="",N54=""),"",
IF(N54=1,INDEX(Rebate_Lookup[REB_MOQ_1],MATCH(A54,Rebate_Lookup[SKU CODE],0)),
IF(N54=2,INDEX(Rebate_Lookup[REB_MOQ_2],MATCH(A54,Rebate_Lookup[SKU CODE],0)),
IF(N54=3,INDEX(Rebate_Lookup[REB_MOQ_3],MATCH(A54,Rebate_Lookup[SKU CODE],0)),
IF(N54=4,INDEX(Rebate_Lookup[REB_MOQ_4],MATCH(A54,Rebate_Lookup[SKU CODE],0)),
"#err")))))</f>
        <v/>
      </c>
      <c r="P54" s="44" t="str">
        <f>IF(L68&gt;5000,IF(OR(O54=0,O54=""),"",H54*O54),"")</f>
        <v/>
      </c>
      <c r="Q54" s="44" t="str">
        <f>IF(
    H54&gt;0,
    IF(
        OR(
            AND(ISNUMBER(SEARCH("Specticle",E54)),ISNUMBER(SEARCH("FLO",E54))),
            AND(ISNUMBER(SEARCH("Ronstar",E54)),ISNUMBER(SEARCH("FLO",E54)))
        ),
        IF(
            AND(_xlfn.XLOOKUP(A54,PRICING[SKU],PRICING[October Bonus],FALSE),$R$10="YES"),
            ROUND(L54*$G$113,2),
            "N/A"
        ),
        IFERROR(
            IF(
                _xlfn.XLOOKUP(A54,PRICING[SKU],PRICING[October Bonus],FALSE),
                ROUND(L54*SUM($G$109:$G$113),2),
                ROUND(L54*SUM($G$109:$G$112),2)
            ),
            ""
        )
    ),
    ""
)</f>
        <v/>
      </c>
      <c r="R54" s="42" t="str">
        <f t="shared" si="3"/>
        <v/>
      </c>
      <c r="S54" s="203" t="str">
        <f t="shared" si="4"/>
        <v/>
      </c>
      <c r="T54" s="204" cm="1">
        <f t="array" ref="T54">IF(OR(H54="",H54=0),
ROUND(_xlfn.XLOOKUP(1,(PRICING[SKU]=A54)*(PRICING[Set]=1),PRICING[Standard Use Rate (oz/M)]),2),ROUND(
_xlfn.XLOOKUP(
1,
(PRICING[SKU]=A54)*
(PRICING[Set]=IF(
_xlfn.XLOOKUP(A54,Rebate_Lookup[SKU CODE],Rebate_Lookup[MOQ_2])=0,
1,
IF(
AND(
_xlfn.XLOOKUP(A54,Rebate_Lookup[SKU CODE],Rebate_Lookup[MOQ_3])=0,
H54&gt;=_xlfn.XLOOKUP(A54,Rebate_Lookup[SKU CODE],Rebate_Lookup[MOQ_2])
),
2,
IF(
AND(
H54&gt;=_xlfn.XLOOKUP(A54,Rebate_Lookup[SKU CODE],Rebate_Lookup[MOQ_1]),
H54&lt;_xlfn.XLOOKUP(A54,Rebate_Lookup[SKU CODE],Rebate_Lookup[MOQ_2])
),
1,
IF(
AND(
H54&gt;=_xlfn.XLOOKUP(A54,Rebate_Lookup[SKU CODE],Rebate_Lookup[MOQ_2]),
OR(
_xlfn.XLOOKUP(A54,Rebate_Lookup[SKU CODE],Rebate_Lookup[MOQ_3])=0,
H54&lt;_xlfn.XLOOKUP(A54,Rebate_Lookup[SKU CODE],Rebate_Lookup[MOQ_3])
)
),
2,
IF(
OR(
AND(
_xlfn.XLOOKUP(A54,Rebate_Lookup[SKU CODE],Rebate_Lookup[MOQ_4])=0,
H54&gt;=_xlfn.XLOOKUP(A54,Rebate_Lookup[SKU CODE],Rebate_Lookup[MOQ_3])
),
AND(
_xlfn.XLOOKUP(A54,Rebate_Lookup[SKU CODE],Rebate_Lookup[MOQ_4])&gt;0,
H54&gt;=_xlfn.XLOOKUP(A54,Rebate_Lookup[SKU CODE],Rebate_Lookup[MOQ_3]),
H54&lt;_xlfn.XLOOKUP(A54,Rebate_Lookup[SKU CODE],Rebate_Lookup[MOQ_4])
)
),
3,
IF(
AND(
_xlfn.XLOOKUP(A54,Rebate_Lookup[SKU CODE],Rebate_Lookup[MOQ_4])&gt;0,
H54&gt;=_xlfn.XLOOKUP(A54,Rebate_Lookup[SKU CODE],Rebate_Lookup[MOQ_4])
),
4,
1
)
)
)
)
)
)),
PRICING[Standard Use Rate (oz/M)]
),
2
))</f>
        <v>3.97</v>
      </c>
      <c r="U54" s="117">
        <f t="shared" si="5"/>
        <v>172.93</v>
      </c>
      <c r="V54" s="45" t="str">
        <f>IF(AND(TRIM(U54)&lt;&gt;"",TRIM(H54)&lt;&gt;""),ROUND(H54*INDEX(PRICING[Package Ounces],MATCH(A54,PRICING[SKU],0))/U54,2),"")</f>
        <v/>
      </c>
      <c r="W54" s="222">
        <f t="shared" si="6"/>
        <v>0</v>
      </c>
      <c r="X54" s="221">
        <f t="shared" si="7"/>
        <v>0</v>
      </c>
      <c r="AA54" s="48"/>
    </row>
    <row r="55" spans="1:27" ht="18.75" customHeight="1" x14ac:dyDescent="0.2">
      <c r="A55" s="175" t="s">
        <v>72</v>
      </c>
      <c r="B55" s="178" t="b">
        <f t="shared" si="0"/>
        <v>0</v>
      </c>
      <c r="D55" s="218" t="str" cm="1">
        <f t="array" ref="D55">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(PRICING[SKU]=$A55)*
            (
                ((PRICING[Rebate $]&lt;&gt;"")*(PRICING[Rebate $]&lt;&gt;0))
                +
                (
                    (
                        ISNUMBER(SEARCH("*Ronstar*FLO*",PRICING[Product]))+
                        ISNUMBER(SEARCH("Altus*",PRICING[Product]))+
                        ISNUMBER(SEARCH("Kontos*",PRICING[Product]))
                    )*
                    (PRICING[Min Qty]&lt;&gt;0)
                )
            )
        )
    ),
    ""
)</f>
        <v/>
      </c>
      <c r="E55" s="215" t="str">
        <f>_xlfn.XLOOKUP(A55, PRICING[SKU], PRICING[Product], "")</f>
        <v xml:space="preserve">Specticle® FLO </v>
      </c>
      <c r="F55" s="46" t="str">
        <f>_xlfn.XLOOKUP(A55, PRICING[SKU], PRICING[Size], "")</f>
        <v>18 oz</v>
      </c>
      <c r="G55" s="40" t="str">
        <f>IF(_xlfn.XLOOKUP(A55,PRICING[SKU],PRICING[Indication])="I","Insecticide",
 IF(_xlfn.XLOOKUP(A55,PRICING[SKU],PRICING[Indication])="H","Herbicide",
 IF(_xlfn.XLOOKUP(A55,PRICING[SKU],PRICING[Indication])="F","Fungicide",
 IF(_xlfn.XLOOKUP(A55,PRICING[SKU],PRICING[Indication])="PGR","PGR",""))))</f>
        <v>Herbicide</v>
      </c>
      <c r="H55" s="47"/>
      <c r="I55" s="41">
        <f>INDEX(PRICING[2026 In-Season Price],MATCH(A55,PRICING[SKU],0))</f>
        <v>340.02</v>
      </c>
      <c r="J55" s="42" t="str">
        <f t="shared" si="1"/>
        <v/>
      </c>
      <c r="K55" s="42">
        <f>INDEX(PRICING[NOW Price],MATCH(A55,PRICING[SKU],0))</f>
        <v>340.02</v>
      </c>
      <c r="L55" s="42" t="str">
        <f t="shared" si="2"/>
        <v/>
      </c>
      <c r="M55" s="43">
        <f>INDEX(Rebate_Lookup[Instances],MATCH(A55,Rebate_Lookup[SKU CODE],0))</f>
        <v>1</v>
      </c>
      <c r="N55" s="43" t="str">
        <f>IF(H55="","",INDEX(Rebate_Lookup[Qualified Rebate Tier],MATCH(A55,Rebate_Lookup[SKU CODE],0)))</f>
        <v/>
      </c>
      <c r="O55" s="42" t="str">
        <f>IF(OR(H55="",N55=""),"",
IF(N55=1,INDEX(Rebate_Lookup[REB_MOQ_1],MATCH(A55,Rebate_Lookup[SKU CODE],0)),
IF(N55=2,INDEX(Rebate_Lookup[REB_MOQ_2],MATCH(A55,Rebate_Lookup[SKU CODE],0)),
IF(N55=3,INDEX(Rebate_Lookup[REB_MOQ_3],MATCH(A55,Rebate_Lookup[SKU CODE],0)),
IF(N55=4,INDEX(Rebate_Lookup[REB_MOQ_4],MATCH(A55,Rebate_Lookup[SKU CODE],0)),
"#err")))))</f>
        <v/>
      </c>
      <c r="P55" s="44" t="str">
        <f>IF(L68&gt;5000,IF(OR(O55=0,O55=""),"",H55*O55),"")</f>
        <v/>
      </c>
      <c r="Q55" s="44" t="str">
        <f>IF(
    H55&gt;0,
    IF(
        OR(
            AND(ISNUMBER(SEARCH("Specticle",E55)),ISNUMBER(SEARCH("FLO",E55))),
            AND(ISNUMBER(SEARCH("Ronstar",E55)),ISNUMBER(SEARCH("FLO",E55)))
        ),
        IF(
            AND(_xlfn.XLOOKUP(A55,PRICING[SKU],PRICING[October Bonus],FALSE),$R$10="YES"),
            ROUND(L55*$G$113,2),
            "N/A"
        ),
        IFERROR(
            IF(
                _xlfn.XLOOKUP(A55,PRICING[SKU],PRICING[October Bonus],FALSE),
                ROUND(L55*SUM($G$109:$G$113),2),
                ROUND(L55*SUM($G$109:$G$112),2)
            ),
            ""
        )
    ),
    ""
)</f>
        <v/>
      </c>
      <c r="R55" s="42" t="str">
        <f t="shared" si="3"/>
        <v/>
      </c>
      <c r="S55" s="203" t="str">
        <f t="shared" si="4"/>
        <v/>
      </c>
      <c r="T55" s="204" cm="1">
        <f t="array" ref="T55">IF(OR(H55="",H55=0),
ROUND(_xlfn.XLOOKUP(1,(PRICING[SKU]=A55)*(PRICING[Set]=1),PRICING[Standard Use Rate (oz/M)]),2),ROUND(
_xlfn.XLOOKUP(
1,
(PRICING[SKU]=A55)*
(PRICING[Set]=IF(
_xlfn.XLOOKUP(A55,Rebate_Lookup[SKU CODE],Rebate_Lookup[MOQ_2])=0,
1,
IF(
AND(
_xlfn.XLOOKUP(A55,Rebate_Lookup[SKU CODE],Rebate_Lookup[MOQ_3])=0,
H55&gt;=_xlfn.XLOOKUP(A55,Rebate_Lookup[SKU CODE],Rebate_Lookup[MOQ_2])
),
2,
IF(
AND(
H55&gt;=_xlfn.XLOOKUP(A55,Rebate_Lookup[SKU CODE],Rebate_Lookup[MOQ_1]),
H55&lt;_xlfn.XLOOKUP(A55,Rebate_Lookup[SKU CODE],Rebate_Lookup[MOQ_2])
),
1,
IF(
AND(
H55&gt;=_xlfn.XLOOKUP(A55,Rebate_Lookup[SKU CODE],Rebate_Lookup[MOQ_2]),
OR(
_xlfn.XLOOKUP(A55,Rebate_Lookup[SKU CODE],Rebate_Lookup[MOQ_3])=0,
H55&lt;_xlfn.XLOOKUP(A55,Rebate_Lookup[SKU CODE],Rebate_Lookup[MOQ_3])
)
),
2,
IF(
OR(
AND(
_xlfn.XLOOKUP(A55,Rebate_Lookup[SKU CODE],Rebate_Lookup[MOQ_4])=0,
H55&gt;=_xlfn.XLOOKUP(A55,Rebate_Lookup[SKU CODE],Rebate_Lookup[MOQ_3])
),
AND(
_xlfn.XLOOKUP(A55,Rebate_Lookup[SKU CODE],Rebate_Lookup[MOQ_4])&gt;0,
H55&gt;=_xlfn.XLOOKUP(A55,Rebate_Lookup[SKU CODE],Rebate_Lookup[MOQ_3]),
H55&lt;_xlfn.XLOOKUP(A55,Rebate_Lookup[SKU CODE],Rebate_Lookup[MOQ_4])
)
),
3,
IF(
AND(
_xlfn.XLOOKUP(A55,Rebate_Lookup[SKU CODE],Rebate_Lookup[MOQ_4])&gt;0,
H55&gt;=_xlfn.XLOOKUP(A55,Rebate_Lookup[SKU CODE],Rebate_Lookup[MOQ_4])
),
4,
1
)
)
)
)
)
)),
PRICING[Standard Use Rate (oz/M)]
),
2
))</f>
        <v>0.14000000000000001</v>
      </c>
      <c r="U55" s="117">
        <f t="shared" si="5"/>
        <v>6.1</v>
      </c>
      <c r="V55" s="45" t="str">
        <f>IF(AND(TRIM(U55)&lt;&gt;"",TRIM(H55)&lt;&gt;""),ROUND(H55*INDEX(PRICING[Package Ounces],MATCH(A55,PRICING[SKU],0))/U55,2),"")</f>
        <v/>
      </c>
      <c r="W55" s="222">
        <f t="shared" si="6"/>
        <v>0</v>
      </c>
      <c r="X55" s="221">
        <f t="shared" si="7"/>
        <v>0</v>
      </c>
      <c r="AA55" s="48"/>
    </row>
    <row r="56" spans="1:27" ht="18.75" customHeight="1" x14ac:dyDescent="0.2">
      <c r="A56" s="175" t="s">
        <v>73</v>
      </c>
      <c r="B56" s="178" t="b">
        <f t="shared" si="0"/>
        <v>0</v>
      </c>
      <c r="D56" s="218" t="str" cm="1">
        <f t="array" ref="D56">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(PRICING[SKU]=$A56)*
            (
                ((PRICING[Rebate $]&lt;&gt;"")*(PRICING[Rebate $]&lt;&gt;0))
                +
                (
                    (
                        ISNUMBER(SEARCH("*Ronstar*FLO*",PRICING[Product]))+
                        ISNUMBER(SEARCH("Altus*",PRICING[Product]))+
                        ISNUMBER(SEARCH("Kontos*",PRICING[Product]))
                    )*
                    (PRICING[Min Qty]&lt;&gt;0)
                )
            )
        )
    ),
    ""
)</f>
        <v>$101.00 off on 1-6 units</v>
      </c>
      <c r="E56" s="215" t="str">
        <f>_xlfn.XLOOKUP(A56, PRICING[SKU], PRICING[Product], "")</f>
        <v xml:space="preserve">Specticle® FLO </v>
      </c>
      <c r="F56" s="46" t="str">
        <f>_xlfn.XLOOKUP(A56, PRICING[SKU], PRICING[Size], "")</f>
        <v>1 gal</v>
      </c>
      <c r="G56" s="40" t="str">
        <f>IF(_xlfn.XLOOKUP(A56,PRICING[SKU],PRICING[Indication])="I","Insecticide",
 IF(_xlfn.XLOOKUP(A56,PRICING[SKU],PRICING[Indication])="H","Herbicide",
 IF(_xlfn.XLOOKUP(A56,PRICING[SKU],PRICING[Indication])="F","Fungicide",
 IF(_xlfn.XLOOKUP(A56,PRICING[SKU],PRICING[Indication])="PGR","PGR",""))))</f>
        <v>Herbicide</v>
      </c>
      <c r="H56" s="47"/>
      <c r="I56" s="41">
        <f>INDEX(PRICING[2026 In-Season Price],MATCH(A56,PRICING[SKU],0))</f>
        <v>2232.3200000000002</v>
      </c>
      <c r="J56" s="42" t="str">
        <f t="shared" si="1"/>
        <v/>
      </c>
      <c r="K56" s="42">
        <f>INDEX(PRICING[NOW Price],MATCH(A56,PRICING[SKU],0))</f>
        <v>2143.0300000000002</v>
      </c>
      <c r="L56" s="42" t="str">
        <f t="shared" si="2"/>
        <v/>
      </c>
      <c r="M56" s="43">
        <f>INDEX(Rebate_Lookup[Instances],MATCH(A56,Rebate_Lookup[SKU CODE],0))</f>
        <v>1</v>
      </c>
      <c r="N56" s="43" t="str">
        <f>IF(H56="","",INDEX(Rebate_Lookup[Qualified Rebate Tier],MATCH(A56,Rebate_Lookup[SKU CODE],0)))</f>
        <v/>
      </c>
      <c r="O56" s="42" t="str">
        <f>IF(OR(H56="",N56=""),"",
IF(N56=1,INDEX(Rebate_Lookup[REB_MOQ_1],MATCH(A56,Rebate_Lookup[SKU CODE],0)),
IF(N56=2,INDEX(Rebate_Lookup[REB_MOQ_2],MATCH(A56,Rebate_Lookup[SKU CODE],0)),
IF(N56=3,INDEX(Rebate_Lookup[REB_MOQ_3],MATCH(A56,Rebate_Lookup[SKU CODE],0)),
IF(N56=4,INDEX(Rebate_Lookup[REB_MOQ_4],MATCH(A56,Rebate_Lookup[SKU CODE],0)),
"#err")))))</f>
        <v/>
      </c>
      <c r="P56" s="44" t="str">
        <f>IF(L68&gt;5000,IF(OR(O56=0,O56=""),"",H56*O56),"")</f>
        <v/>
      </c>
      <c r="Q56" s="44" t="str">
        <f>IF(
    H56&gt;0,
    IF(
        OR(
            AND(ISNUMBER(SEARCH("Specticle",E56)),ISNUMBER(SEARCH("FLO",E56))),
            AND(ISNUMBER(SEARCH("Ronstar",E56)),ISNUMBER(SEARCH("FLO",E56)))
        ),
        IF(
            AND(_xlfn.XLOOKUP(A56,PRICING[SKU],PRICING[October Bonus],FALSE),$R$10="YES"),
            ROUND(L56*$G$113,2),
            "N/A"
        ),
        IFERROR(
            IF(
                _xlfn.XLOOKUP(A56,PRICING[SKU],PRICING[October Bonus],FALSE),
                ROUND(L56*SUM($G$109:$G$113),2),
                ROUND(L56*SUM($G$109:$G$112),2)
            ),
            ""
        )
    ),
    ""
)</f>
        <v/>
      </c>
      <c r="R56" s="42" t="str">
        <f t="shared" si="3"/>
        <v/>
      </c>
      <c r="S56" s="203" t="str">
        <f t="shared" si="4"/>
        <v/>
      </c>
      <c r="T56" s="204" cm="1">
        <f t="array" ref="T56">IF(OR(H56="",H56=0),
ROUND(_xlfn.XLOOKUP(1,(PRICING[SKU]=A56)*(PRICING[Set]=1),PRICING[Standard Use Rate (oz/M)]),2),ROUND(
_xlfn.XLOOKUP(
1,
(PRICING[SKU]=A56)*
(PRICING[Set]=IF(
_xlfn.XLOOKUP(A56,Rebate_Lookup[SKU CODE],Rebate_Lookup[MOQ_2])=0,
1,
IF(
AND(
_xlfn.XLOOKUP(A56,Rebate_Lookup[SKU CODE],Rebate_Lookup[MOQ_3])=0,
H56&gt;=_xlfn.XLOOKUP(A56,Rebate_Lookup[SKU CODE],Rebate_Lookup[MOQ_2])
),
2,
IF(
AND(
H56&gt;=_xlfn.XLOOKUP(A56,Rebate_Lookup[SKU CODE],Rebate_Lookup[MOQ_1]),
H56&lt;_xlfn.XLOOKUP(A56,Rebate_Lookup[SKU CODE],Rebate_Lookup[MOQ_2])
),
1,
IF(
AND(
H56&gt;=_xlfn.XLOOKUP(A56,Rebate_Lookup[SKU CODE],Rebate_Lookup[MOQ_2]),
OR(
_xlfn.XLOOKUP(A56,Rebate_Lookup[SKU CODE],Rebate_Lookup[MOQ_3])=0,
H56&lt;_xlfn.XLOOKUP(A56,Rebate_Lookup[SKU CODE],Rebate_Lookup[MOQ_3])
)
),
2,
IF(
OR(
AND(
_xlfn.XLOOKUP(A56,Rebate_Lookup[SKU CODE],Rebate_Lookup[MOQ_4])=0,
H56&gt;=_xlfn.XLOOKUP(A56,Rebate_Lookup[SKU CODE],Rebate_Lookup[MOQ_3])
),
AND(
_xlfn.XLOOKUP(A56,Rebate_Lookup[SKU CODE],Rebate_Lookup[MOQ_4])&gt;0,
H56&gt;=_xlfn.XLOOKUP(A56,Rebate_Lookup[SKU CODE],Rebate_Lookup[MOQ_3]),
H56&lt;_xlfn.XLOOKUP(A56,Rebate_Lookup[SKU CODE],Rebate_Lookup[MOQ_4])
)
),
3,
IF(
AND(
_xlfn.XLOOKUP(A56,Rebate_Lookup[SKU CODE],Rebate_Lookup[MOQ_4])&gt;0,
H56&gt;=_xlfn.XLOOKUP(A56,Rebate_Lookup[SKU CODE],Rebate_Lookup[MOQ_4])
),
4,
1
)
)
)
)
)
)),
PRICING[Standard Use Rate (oz/M)]
),
2
))</f>
        <v>0.14000000000000001</v>
      </c>
      <c r="U56" s="117">
        <f t="shared" si="5"/>
        <v>6.1</v>
      </c>
      <c r="V56" s="45" t="str">
        <f>IF(AND(TRIM(U56)&lt;&gt;"",TRIM(H56)&lt;&gt;""),ROUND(H56*INDEX(PRICING[Package Ounces],MATCH(A56,PRICING[SKU],0))/U56,2),"")</f>
        <v/>
      </c>
      <c r="W56" s="222">
        <f t="shared" si="6"/>
        <v>0</v>
      </c>
      <c r="X56" s="221">
        <f t="shared" si="7"/>
        <v>0</v>
      </c>
      <c r="AA56" s="48"/>
    </row>
    <row r="57" spans="1:27" ht="18.75" customHeight="1" x14ac:dyDescent="0.2">
      <c r="A57" s="175" t="s">
        <v>74</v>
      </c>
      <c r="B57" s="178" t="b">
        <f t="shared" si="0"/>
        <v>0</v>
      </c>
      <c r="D57" s="218" t="str" cm="1">
        <f t="array" ref="D57">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(PRICING[SKU]=$A57)*
            (
                ((PRICING[Rebate $]&lt;&gt;"")*(PRICING[Rebate $]&lt;&gt;0))
                +
                (
                    (
                        ISNUMBER(SEARCH("*Ronstar*FLO*",PRICING[Product]))+
                        ISNUMBER(SEARCH("Altus*",PRICING[Product]))+
                        ISNUMBER(SEARCH("Kontos*",PRICING[Product]))
                    )*
                    (PRICING[Min Qty]&lt;&gt;0)
                )
            )
        )
    ),
    ""
)</f>
        <v>$115.00 off on 7-13 units</v>
      </c>
      <c r="E57" s="215" t="str">
        <f>_xlfn.XLOOKUP(A57, PRICING[SKU], PRICING[Product], "")</f>
        <v xml:space="preserve">Specticle® FLO </v>
      </c>
      <c r="F57" s="46" t="str">
        <f>_xlfn.XLOOKUP(A57, PRICING[SKU], PRICING[Size], "")</f>
        <v>1 gal</v>
      </c>
      <c r="G57" s="40" t="str">
        <f>IF(_xlfn.XLOOKUP(A57,PRICING[SKU],PRICING[Indication])="I","Insecticide",
 IF(_xlfn.XLOOKUP(A57,PRICING[SKU],PRICING[Indication])="H","Herbicide",
 IF(_xlfn.XLOOKUP(A57,PRICING[SKU],PRICING[Indication])="F","Fungicide",
 IF(_xlfn.XLOOKUP(A57,PRICING[SKU],PRICING[Indication])="PGR","PGR",""))))</f>
        <v>Herbicide</v>
      </c>
      <c r="H57" s="47"/>
      <c r="I57" s="41">
        <f>INDEX(PRICING[2026 In-Season Price],MATCH(A57,PRICING[SKU],0))</f>
        <v>2232.3200000000002</v>
      </c>
      <c r="J57" s="42" t="str">
        <f t="shared" si="1"/>
        <v/>
      </c>
      <c r="K57" s="42">
        <f>INDEX(PRICING[NOW Price],MATCH(A57,PRICING[SKU],0))</f>
        <v>2098.38</v>
      </c>
      <c r="L57" s="42" t="str">
        <f t="shared" si="2"/>
        <v/>
      </c>
      <c r="M57" s="43">
        <f>INDEX(Rebate_Lookup[Instances],MATCH(A57,Rebate_Lookup[SKU CODE],0))</f>
        <v>1</v>
      </c>
      <c r="N57" s="43" t="str">
        <f>IF(H57="","",INDEX(Rebate_Lookup[Qualified Rebate Tier],MATCH(A57,Rebate_Lookup[SKU CODE],0)))</f>
        <v/>
      </c>
      <c r="O57" s="42" t="str">
        <f>IF(OR(H57="",N57=""),"",
IF(N57=1,INDEX(Rebate_Lookup[REB_MOQ_1],MATCH(A57,Rebate_Lookup[SKU CODE],0)),
IF(N57=2,INDEX(Rebate_Lookup[REB_MOQ_2],MATCH(A57,Rebate_Lookup[SKU CODE],0)),
IF(N57=3,INDEX(Rebate_Lookup[REB_MOQ_3],MATCH(A57,Rebate_Lookup[SKU CODE],0)),
IF(N57=4,INDEX(Rebate_Lookup[REB_MOQ_4],MATCH(A57,Rebate_Lookup[SKU CODE],0)),
"#err")))))</f>
        <v/>
      </c>
      <c r="P57" s="44" t="str">
        <f>IF(L68&gt;5000,IF(OR(O57=0,O57=""),"",H57*O57),"")</f>
        <v/>
      </c>
      <c r="Q57" s="44" t="str">
        <f>IF(
    H57&gt;0,
    IF(
        OR(
            AND(ISNUMBER(SEARCH("Specticle",E57)),ISNUMBER(SEARCH("FLO",E57))),
            AND(ISNUMBER(SEARCH("Ronstar",E57)),ISNUMBER(SEARCH("FLO",E57)))
        ),
        IF(
            AND(_xlfn.XLOOKUP(A57,PRICING[SKU],PRICING[October Bonus],FALSE),$R$10="YES"),
            ROUND(L57*$G$113,2),
            "N/A"
        ),
        IFERROR(
            IF(
                _xlfn.XLOOKUP(A57,PRICING[SKU],PRICING[October Bonus],FALSE),
                ROUND(L57*SUM($G$109:$G$113),2),
                ROUND(L57*SUM($G$109:$G$112),2)
            ),
            ""
        )
    ),
    ""
)</f>
        <v/>
      </c>
      <c r="R57" s="42" t="str">
        <f t="shared" si="3"/>
        <v/>
      </c>
      <c r="S57" s="203" t="str">
        <f t="shared" si="4"/>
        <v/>
      </c>
      <c r="T57" s="204" cm="1">
        <f t="array" ref="T57">IF(OR(H57="",H57=0),
ROUND(_xlfn.XLOOKUP(1,(PRICING[SKU]=A57)*(PRICING[Set]=1),PRICING[Standard Use Rate (oz/M)]),2),ROUND(
_xlfn.XLOOKUP(
1,
(PRICING[SKU]=A57)*
(PRICING[Set]=IF(
_xlfn.XLOOKUP(A57,Rebate_Lookup[SKU CODE],Rebate_Lookup[MOQ_2])=0,
1,
IF(
AND(
_xlfn.XLOOKUP(A57,Rebate_Lookup[SKU CODE],Rebate_Lookup[MOQ_3])=0,
H57&gt;=_xlfn.XLOOKUP(A57,Rebate_Lookup[SKU CODE],Rebate_Lookup[MOQ_2])
),
2,
IF(
AND(
H57&gt;=_xlfn.XLOOKUP(A57,Rebate_Lookup[SKU CODE],Rebate_Lookup[MOQ_1]),
H57&lt;_xlfn.XLOOKUP(A57,Rebate_Lookup[SKU CODE],Rebate_Lookup[MOQ_2])
),
1,
IF(
AND(
H57&gt;=_xlfn.XLOOKUP(A57,Rebate_Lookup[SKU CODE],Rebate_Lookup[MOQ_2]),
OR(
_xlfn.XLOOKUP(A57,Rebate_Lookup[SKU CODE],Rebate_Lookup[MOQ_3])=0,
H57&lt;_xlfn.XLOOKUP(A57,Rebate_Lookup[SKU CODE],Rebate_Lookup[MOQ_3])
)
),
2,
IF(
OR(
AND(
_xlfn.XLOOKUP(A57,Rebate_Lookup[SKU CODE],Rebate_Lookup[MOQ_4])=0,
H57&gt;=_xlfn.XLOOKUP(A57,Rebate_Lookup[SKU CODE],Rebate_Lookup[MOQ_3])
),
AND(
_xlfn.XLOOKUP(A57,Rebate_Lookup[SKU CODE],Rebate_Lookup[MOQ_4])&gt;0,
H57&gt;=_xlfn.XLOOKUP(A57,Rebate_Lookup[SKU CODE],Rebate_Lookup[MOQ_3]),
H57&lt;_xlfn.XLOOKUP(A57,Rebate_Lookup[SKU CODE],Rebate_Lookup[MOQ_4])
)
),
3,
IF(
AND(
_xlfn.XLOOKUP(A57,Rebate_Lookup[SKU CODE],Rebate_Lookup[MOQ_4])&gt;0,
H57&gt;=_xlfn.XLOOKUP(A57,Rebate_Lookup[SKU CODE],Rebate_Lookup[MOQ_4])
),
4,
1
)
)
)
)
)
)),
PRICING[Standard Use Rate (oz/M)]
),
2
))</f>
        <v>0.14000000000000001</v>
      </c>
      <c r="U57" s="117">
        <f t="shared" si="5"/>
        <v>6.1</v>
      </c>
      <c r="V57" s="45" t="str">
        <f>IF(AND(TRIM(U57)&lt;&gt;"",TRIM(H57)&lt;&gt;""),ROUND(H57*INDEX(PRICING[Package Ounces],MATCH(A57,PRICING[SKU],0))/U57,2),"")</f>
        <v/>
      </c>
      <c r="W57" s="222">
        <f t="shared" si="6"/>
        <v>0</v>
      </c>
      <c r="X57" s="221">
        <f t="shared" si="7"/>
        <v>0</v>
      </c>
      <c r="AA57" s="48"/>
    </row>
    <row r="58" spans="1:27" ht="18.75" customHeight="1" x14ac:dyDescent="0.2">
      <c r="A58" s="175" t="s">
        <v>75</v>
      </c>
      <c r="B58" s="178" t="b">
        <f t="shared" si="0"/>
        <v>0</v>
      </c>
      <c r="D58" s="218" t="str" cm="1">
        <f t="array" ref="D58">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(PRICING[SKU]=$A58)*
            (
                ((PRICING[Rebate $]&lt;&gt;"")*(PRICING[Rebate $]&lt;&gt;0))
                +
                (
                    (
                        ISNUMBER(SEARCH("*Ronstar*FLO*",PRICING[Product]))+
                        ISNUMBER(SEARCH("Altus*",PRICING[Product]))+
                        ISNUMBER(SEARCH("Kontos*",PRICING[Product]))
                    )*
                    (PRICING[Min Qty]&lt;&gt;0)
                )
            )
        )
    ),
    ""
)</f>
        <v>$128.00 off on 14-25 units</v>
      </c>
      <c r="E58" s="215" t="str">
        <f>_xlfn.XLOOKUP(A58, PRICING[SKU], PRICING[Product], "")</f>
        <v xml:space="preserve">Specticle® FLO </v>
      </c>
      <c r="F58" s="46" t="str">
        <f>_xlfn.XLOOKUP(A58, PRICING[SKU], PRICING[Size], "")</f>
        <v>1 gal</v>
      </c>
      <c r="G58" s="40" t="str">
        <f>IF(_xlfn.XLOOKUP(A58,PRICING[SKU],PRICING[Indication])="I","Insecticide",
 IF(_xlfn.XLOOKUP(A58,PRICING[SKU],PRICING[Indication])="H","Herbicide",
 IF(_xlfn.XLOOKUP(A58,PRICING[SKU],PRICING[Indication])="F","Fungicide",
 IF(_xlfn.XLOOKUP(A58,PRICING[SKU],PRICING[Indication])="PGR","PGR",""))))</f>
        <v>Herbicide</v>
      </c>
      <c r="H58" s="47"/>
      <c r="I58" s="41">
        <f>INDEX(PRICING[2026 In-Season Price],MATCH(A58,PRICING[SKU],0))</f>
        <v>1916.16</v>
      </c>
      <c r="J58" s="42" t="str">
        <f t="shared" ref="J58:J64" si="8">IF(H58*I58= 0,"",H58*I58)</f>
        <v/>
      </c>
      <c r="K58" s="42">
        <f>INDEX(PRICING[NOW Price],MATCH(A58,PRICING[SKU],0))</f>
        <v>1839.51</v>
      </c>
      <c r="L58" s="42" t="str">
        <f t="shared" ref="L58:L64" si="9">IF(H58*K58= 0,"",ROUND(H58*K58,2))</f>
        <v/>
      </c>
      <c r="M58" s="43">
        <f>INDEX(Rebate_Lookup[Instances],MATCH(A58,Rebate_Lookup[SKU CODE],0))</f>
        <v>1</v>
      </c>
      <c r="N58" s="43" t="str">
        <f>IF(H58="","",INDEX(Rebate_Lookup[Qualified Rebate Tier],MATCH(A58,Rebate_Lookup[SKU CODE],0)))</f>
        <v/>
      </c>
      <c r="O58" s="42" t="str">
        <f>IF(OR(H58="",N58=""),"",
IF(N58=1,INDEX(Rebate_Lookup[REB_MOQ_1],MATCH(A58,Rebate_Lookup[SKU CODE],0)),
IF(N58=2,INDEX(Rebate_Lookup[REB_MOQ_2],MATCH(A58,Rebate_Lookup[SKU CODE],0)),
IF(N58=3,INDEX(Rebate_Lookup[REB_MOQ_3],MATCH(A58,Rebate_Lookup[SKU CODE],0)),
IF(N58=4,INDEX(Rebate_Lookup[REB_MOQ_4],MATCH(A58,Rebate_Lookup[SKU CODE],0)),
"#err")))))</f>
        <v/>
      </c>
      <c r="P58" s="44" t="str">
        <f>IF(L68&gt;5000,IF(OR(O58=0,O58=""),"",H58*O58),"")</f>
        <v/>
      </c>
      <c r="Q58" s="44" t="str">
        <f>IF(
    H58&gt;0,
    IF(
        OR(
            AND(ISNUMBER(SEARCH("Specticle",E58)),ISNUMBER(SEARCH("FLO",E58))),
            AND(ISNUMBER(SEARCH("Ronstar",E58)),ISNUMBER(SEARCH("FLO",E58)))
        ),
        IF(
            AND(_xlfn.XLOOKUP(A58,PRICING[SKU],PRICING[October Bonus],FALSE),$R$10="YES"),
            ROUND(L58*$G$113,2),
            "N/A"
        ),
        IFERROR(
            IF(
                _xlfn.XLOOKUP(A58,PRICING[SKU],PRICING[October Bonus],FALSE),
                ROUND(L58*SUM($G$109:$G$113),2),
                ROUND(L58*SUM($G$109:$G$112),2)
            ),
            ""
        )
    ),
    ""
)</f>
        <v/>
      </c>
      <c r="R58" s="42" t="str">
        <f t="shared" ref="R58:R64" si="10">IFERROR(ROUND((L58-SUM(P58:Q58))/H58,2),"")</f>
        <v/>
      </c>
      <c r="S58" s="203" t="str">
        <f t="shared" ref="S58:S64" si="11">IF(AND(H58&lt;&gt;"",H58&gt;0), ROUND(H58*R58,2),"")</f>
        <v/>
      </c>
      <c r="T58" s="204" cm="1">
        <f t="array" ref="T58">IF(OR(H58="",H58=0),
ROUND(_xlfn.XLOOKUP(1,(PRICING[SKU]=A58)*(PRICING[Set]=1),PRICING[Standard Use Rate (oz/M)]),2),ROUND(
_xlfn.XLOOKUP(
1,
(PRICING[SKU]=A58)*
(PRICING[Set]=IF(
_xlfn.XLOOKUP(A58,Rebate_Lookup[SKU CODE],Rebate_Lookup[MOQ_2])=0,
1,
IF(
AND(
_xlfn.XLOOKUP(A58,Rebate_Lookup[SKU CODE],Rebate_Lookup[MOQ_3])=0,
H58&gt;=_xlfn.XLOOKUP(A58,Rebate_Lookup[SKU CODE],Rebate_Lookup[MOQ_2])
),
2,
IF(
AND(
H58&gt;=_xlfn.XLOOKUP(A58,Rebate_Lookup[SKU CODE],Rebate_Lookup[MOQ_1]),
H58&lt;_xlfn.XLOOKUP(A58,Rebate_Lookup[SKU CODE],Rebate_Lookup[MOQ_2])
),
1,
IF(
AND(
H58&gt;=_xlfn.XLOOKUP(A58,Rebate_Lookup[SKU CODE],Rebate_Lookup[MOQ_2]),
OR(
_xlfn.XLOOKUP(A58,Rebate_Lookup[SKU CODE],Rebate_Lookup[MOQ_3])=0,
H58&lt;_xlfn.XLOOKUP(A58,Rebate_Lookup[SKU CODE],Rebate_Lookup[MOQ_3])
)
),
2,
IF(
OR(
AND(
_xlfn.XLOOKUP(A58,Rebate_Lookup[SKU CODE],Rebate_Lookup[MOQ_4])=0,
H58&gt;=_xlfn.XLOOKUP(A58,Rebate_Lookup[SKU CODE],Rebate_Lookup[MOQ_3])
),
AND(
_xlfn.XLOOKUP(A58,Rebate_Lookup[SKU CODE],Rebate_Lookup[MOQ_4])&gt;0,
H58&gt;=_xlfn.XLOOKUP(A58,Rebate_Lookup[SKU CODE],Rebate_Lookup[MOQ_3]),
H58&lt;_xlfn.XLOOKUP(A58,Rebate_Lookup[SKU CODE],Rebate_Lookup[MOQ_4])
)
),
3,
IF(
AND(
_xlfn.XLOOKUP(A58,Rebate_Lookup[SKU CODE],Rebate_Lookup[MOQ_4])&gt;0,
H58&gt;=_xlfn.XLOOKUP(A58,Rebate_Lookup[SKU CODE],Rebate_Lookup[MOQ_4])
),
4,
1
)
)
)
)
)
)),
PRICING[Standard Use Rate (oz/M)]
),
2
))</f>
        <v>0.14000000000000001</v>
      </c>
      <c r="U58" s="117">
        <f t="shared" si="5"/>
        <v>6.1</v>
      </c>
      <c r="V58" s="45" t="str">
        <f>IF(AND(TRIM(U58)&lt;&gt;"",TRIM(H58)&lt;&gt;""),ROUND(H58*INDEX(PRICING[Package Ounces],MATCH(A58,PRICING[SKU],0))/U58,2),"")</f>
        <v/>
      </c>
      <c r="W58" s="222">
        <f t="shared" ref="W58:W64" si="12">IF(H58&lt;&gt;0,ROUND(S58/V58,2),0)</f>
        <v>0</v>
      </c>
      <c r="X58" s="221">
        <f t="shared" ref="X58:X64" si="13">ROUND(W58/43.56,2)</f>
        <v>0</v>
      </c>
      <c r="AA58" s="48"/>
    </row>
    <row r="59" spans="1:27" ht="18.75" customHeight="1" x14ac:dyDescent="0.2">
      <c r="A59" s="175" t="s">
        <v>76</v>
      </c>
      <c r="B59" s="178" t="b">
        <f t="shared" si="0"/>
        <v>0</v>
      </c>
      <c r="D59" s="218" t="str" cm="1">
        <f t="array" ref="D59">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(PRICING[SKU]=$A59)*
            (
                ((PRICING[Rebate $]&lt;&gt;"")*(PRICING[Rebate $]&lt;&gt;0))
                +
                (
                    (
                        ISNUMBER(SEARCH("*Ronstar*FLO*",PRICING[Product]))+
                        ISNUMBER(SEARCH("Altus*",PRICING[Product]))+
                        ISNUMBER(SEARCH("Kontos*",PRICING[Product]))
                    )*
                    (PRICING[Min Qty]&lt;&gt;0)
                )
            )
        )
    ),
    ""
)</f>
        <v>$328.00 off on 26+ units</v>
      </c>
      <c r="E59" s="215" t="str">
        <f>_xlfn.XLOOKUP(A59, PRICING[SKU], PRICING[Product], "")</f>
        <v xml:space="preserve">Specticle® FLO </v>
      </c>
      <c r="F59" s="46" t="str">
        <f>_xlfn.XLOOKUP(A59, PRICING[SKU], PRICING[Size], "")</f>
        <v>1 gal</v>
      </c>
      <c r="G59" s="40" t="str">
        <f>IF(_xlfn.XLOOKUP(A59,PRICING[SKU],PRICING[Indication])="I","Insecticide",
 IF(_xlfn.XLOOKUP(A59,PRICING[SKU],PRICING[Indication])="H","Herbicide",
 IF(_xlfn.XLOOKUP(A59,PRICING[SKU],PRICING[Indication])="F","Fungicide",
 IF(_xlfn.XLOOKUP(A59,PRICING[SKU],PRICING[Indication])="PGR","PGR",""))))</f>
        <v>Herbicide</v>
      </c>
      <c r="H59" s="47"/>
      <c r="I59" s="41">
        <f>INDEX(PRICING[2026 In-Season Price],MATCH(A59,PRICING[SKU],0))</f>
        <v>1916.16</v>
      </c>
      <c r="J59" s="42" t="str">
        <f t="shared" si="8"/>
        <v/>
      </c>
      <c r="K59" s="42">
        <f>INDEX(PRICING[NOW Price],MATCH(A59,PRICING[SKU],0))</f>
        <v>1820.35</v>
      </c>
      <c r="L59" s="42" t="str">
        <f t="shared" si="9"/>
        <v/>
      </c>
      <c r="M59" s="43">
        <f>INDEX(Rebate_Lookup[Instances],MATCH(A59,Rebate_Lookup[SKU CODE],0))</f>
        <v>1</v>
      </c>
      <c r="N59" s="43" t="str">
        <f>IF(H59="","",INDEX(Rebate_Lookup[Qualified Rebate Tier],MATCH(A59,Rebate_Lookup[SKU CODE],0)))</f>
        <v/>
      </c>
      <c r="O59" s="42" t="str">
        <f>IF(OR(H59="",N59=""),"",
IF(N59=1,INDEX(Rebate_Lookup[REB_MOQ_1],MATCH(A59,Rebate_Lookup[SKU CODE],0)),
IF(N59=2,INDEX(Rebate_Lookup[REB_MOQ_2],MATCH(A59,Rebate_Lookup[SKU CODE],0)),
IF(N59=3,INDEX(Rebate_Lookup[REB_MOQ_3],MATCH(A59,Rebate_Lookup[SKU CODE],0)),
IF(N59=4,INDEX(Rebate_Lookup[REB_MOQ_4],MATCH(A59,Rebate_Lookup[SKU CODE],0)),
"#err")))))</f>
        <v/>
      </c>
      <c r="P59" s="44" t="str">
        <f>IF(L68&gt;5000,IF(OR(O59=0,O59=""),"",H59*O59),"")</f>
        <v/>
      </c>
      <c r="Q59" s="44" t="str">
        <f>IF(
    H59&gt;0,
    IF(
        OR(
            AND(ISNUMBER(SEARCH("Specticle",E59)),ISNUMBER(SEARCH("FLO",E59))),
            AND(ISNUMBER(SEARCH("Ronstar",E59)),ISNUMBER(SEARCH("FLO",E59)))
        ),
        IF(
            AND(_xlfn.XLOOKUP(A59,PRICING[SKU],PRICING[October Bonus],FALSE),$R$10="YES"),
            ROUND(L59*$G$113,2),
            "N/A"
        ),
        IFERROR(
            IF(
                _xlfn.XLOOKUP(A59,PRICING[SKU],PRICING[October Bonus],FALSE),
                ROUND(L59*SUM($G$109:$G$113),2),
                ROUND(L59*SUM($G$109:$G$112),2)
            ),
            ""
        )
    ),
    ""
)</f>
        <v/>
      </c>
      <c r="R59" s="42" t="str">
        <f t="shared" si="10"/>
        <v/>
      </c>
      <c r="S59" s="203" t="str">
        <f t="shared" si="11"/>
        <v/>
      </c>
      <c r="T59" s="204" cm="1">
        <f t="array" ref="T59">IF(OR(H59="",H59=0),
ROUND(_xlfn.XLOOKUP(1,(PRICING[SKU]=A59)*(PRICING[Set]=1),PRICING[Standard Use Rate (oz/M)]),2),ROUND(
_xlfn.XLOOKUP(
1,
(PRICING[SKU]=A59)*
(PRICING[Set]=IF(
_xlfn.XLOOKUP(A59,Rebate_Lookup[SKU CODE],Rebate_Lookup[MOQ_2])=0,
1,
IF(
AND(
_xlfn.XLOOKUP(A59,Rebate_Lookup[SKU CODE],Rebate_Lookup[MOQ_3])=0,
H59&gt;=_xlfn.XLOOKUP(A59,Rebate_Lookup[SKU CODE],Rebate_Lookup[MOQ_2])
),
2,
IF(
AND(
H59&gt;=_xlfn.XLOOKUP(A59,Rebate_Lookup[SKU CODE],Rebate_Lookup[MOQ_1]),
H59&lt;_xlfn.XLOOKUP(A59,Rebate_Lookup[SKU CODE],Rebate_Lookup[MOQ_2])
),
1,
IF(
AND(
H59&gt;=_xlfn.XLOOKUP(A59,Rebate_Lookup[SKU CODE],Rebate_Lookup[MOQ_2]),
OR(
_xlfn.XLOOKUP(A59,Rebate_Lookup[SKU CODE],Rebate_Lookup[MOQ_3])=0,
H59&lt;_xlfn.XLOOKUP(A59,Rebate_Lookup[SKU CODE],Rebate_Lookup[MOQ_3])
)
),
2,
IF(
OR(
AND(
_xlfn.XLOOKUP(A59,Rebate_Lookup[SKU CODE],Rebate_Lookup[MOQ_4])=0,
H59&gt;=_xlfn.XLOOKUP(A59,Rebate_Lookup[SKU CODE],Rebate_Lookup[MOQ_3])
),
AND(
_xlfn.XLOOKUP(A59,Rebate_Lookup[SKU CODE],Rebate_Lookup[MOQ_4])&gt;0,
H59&gt;=_xlfn.XLOOKUP(A59,Rebate_Lookup[SKU CODE],Rebate_Lookup[MOQ_3]),
H59&lt;_xlfn.XLOOKUP(A59,Rebate_Lookup[SKU CODE],Rebate_Lookup[MOQ_4])
)
),
3,
IF(
AND(
_xlfn.XLOOKUP(A59,Rebate_Lookup[SKU CODE],Rebate_Lookup[MOQ_4])&gt;0,
H59&gt;=_xlfn.XLOOKUP(A59,Rebate_Lookup[SKU CODE],Rebate_Lookup[MOQ_4])
),
4,
1
)
)
)
)
)
)),
PRICING[Standard Use Rate (oz/M)]
),
2
))</f>
        <v>0.14000000000000001</v>
      </c>
      <c r="U59" s="117">
        <f t="shared" si="5"/>
        <v>6.1</v>
      </c>
      <c r="V59" s="45" t="str">
        <f>IF(AND(TRIM(U59)&lt;&gt;"",TRIM(H59)&lt;&gt;""),ROUND(H59*INDEX(PRICING[Package Ounces],MATCH(A59,PRICING[SKU],0))/U59,2),"")</f>
        <v/>
      </c>
      <c r="W59" s="222">
        <f t="shared" si="12"/>
        <v>0</v>
      </c>
      <c r="X59" s="221">
        <f t="shared" si="13"/>
        <v>0</v>
      </c>
      <c r="AA59" s="48"/>
    </row>
    <row r="60" spans="1:27" ht="18.75" customHeight="1" x14ac:dyDescent="0.2">
      <c r="A60" s="175" t="s">
        <v>77</v>
      </c>
      <c r="B60" s="178" t="b">
        <f t="shared" si="0"/>
        <v>0</v>
      </c>
      <c r="D60" s="218" t="str" cm="1">
        <f t="array" ref="D60">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(PRICING[SKU]=$A60)*
            (
                ((PRICING[Rebate $]&lt;&gt;"")*(PRICING[Rebate $]&lt;&gt;0))
                +
                (
                    (
                        ISNUMBER(SEARCH("*Ronstar*FLO*",PRICING[Product]))+
                        ISNUMBER(SEARCH("Altus*",PRICING[Product]))+
                        ISNUMBER(SEARCH("Kontos*",PRICING[Product]))
                    )*
                    (PRICING[Min Qty]&lt;&gt;0)
                )
            )
        )
    ),
    ""
)</f>
        <v>$20.00 off on 40+ units</v>
      </c>
      <c r="E60" s="215" t="str">
        <f>_xlfn.XLOOKUP(A60, PRICING[SKU], PRICING[Product], "")</f>
        <v>Specticle® G</v>
      </c>
      <c r="F60" s="46" t="str">
        <f>_xlfn.XLOOKUP(A60, PRICING[SKU], PRICING[Size], "")</f>
        <v>50 lb</v>
      </c>
      <c r="G60" s="40" t="str">
        <f>IF(_xlfn.XLOOKUP(A60,PRICING[SKU],PRICING[Indication])="I","Insecticide",
 IF(_xlfn.XLOOKUP(A60,PRICING[SKU],PRICING[Indication])="H","Herbicide",
 IF(_xlfn.XLOOKUP(A60,PRICING[SKU],PRICING[Indication])="F","Fungicide",
 IF(_xlfn.XLOOKUP(A60,PRICING[SKU],PRICING[Indication])="PGR","PGR",""))))</f>
        <v>Herbicide</v>
      </c>
      <c r="H60" s="47"/>
      <c r="I60" s="41">
        <f>INDEX(PRICING[2026 In-Season Price],MATCH(A60,PRICING[SKU],0))</f>
        <v>139</v>
      </c>
      <c r="J60" s="42" t="str">
        <f t="shared" si="8"/>
        <v/>
      </c>
      <c r="K60" s="42">
        <f>INDEX(PRICING[NOW Price],MATCH(A60,PRICING[SKU],0))</f>
        <v>139</v>
      </c>
      <c r="L60" s="42" t="str">
        <f t="shared" si="9"/>
        <v/>
      </c>
      <c r="M60" s="43">
        <f>INDEX(Rebate_Lookup[Instances],MATCH(A60,Rebate_Lookup[SKU CODE],0))</f>
        <v>2</v>
      </c>
      <c r="N60" s="43" t="str">
        <f>IF(H60="","",INDEX(Rebate_Lookup[Qualified Rebate Tier],MATCH(A60,Rebate_Lookup[SKU CODE],0)))</f>
        <v/>
      </c>
      <c r="O60" s="42" t="str">
        <f>IF(OR(H60="",N60=""),"",
IF(N60=1,INDEX(Rebate_Lookup[REB_MOQ_1],MATCH(A60,Rebate_Lookup[SKU CODE],0)),
IF(N60=2,INDEX(Rebate_Lookup[REB_MOQ_2],MATCH(A60,Rebate_Lookup[SKU CODE],0)),
IF(N60=3,INDEX(Rebate_Lookup[REB_MOQ_3],MATCH(A60,Rebate_Lookup[SKU CODE],0)),
IF(N60=4,INDEX(Rebate_Lookup[REB_MOQ_4],MATCH(A60,Rebate_Lookup[SKU CODE],0)),
"#err")))))</f>
        <v/>
      </c>
      <c r="P60" s="44" t="str">
        <f>IF(L68&gt;5000,IF(OR(O60=0,O60=""),"",H60*O60),"")</f>
        <v/>
      </c>
      <c r="Q60" s="44" t="str">
        <f>IF(
    H60&gt;0,
    IF(
        OR(
            AND(ISNUMBER(SEARCH("Specticle",E60)),ISNUMBER(SEARCH("FLO",E60))),
            AND(ISNUMBER(SEARCH("Ronstar",E60)),ISNUMBER(SEARCH("FLO",E60)))
        ),
        IF(
            AND(_xlfn.XLOOKUP(A60,PRICING[SKU],PRICING[October Bonus],FALSE),$R$10="YES"),
            ROUND(L60*$G$113,2),
            "N/A"
        ),
        IFERROR(
            IF(
                _xlfn.XLOOKUP(A60,PRICING[SKU],PRICING[October Bonus],FALSE),
                ROUND(L60*SUM($G$109:$G$113),2),
                ROUND(L60*SUM($G$109:$G$112),2)
            ),
            ""
        )
    ),
    ""
)</f>
        <v/>
      </c>
      <c r="R60" s="42" t="str">
        <f t="shared" si="10"/>
        <v/>
      </c>
      <c r="S60" s="203" t="str">
        <f t="shared" si="11"/>
        <v/>
      </c>
      <c r="T60" s="204" cm="1">
        <f t="array" ref="T60">IF(OR(H60="",H60=0),
ROUND(_xlfn.XLOOKUP(1,(PRICING[SKU]=A60)*(PRICING[Set]=1),PRICING[Standard Use Rate (oz/M)]),2),ROUND(
_xlfn.XLOOKUP(
1,
(PRICING[SKU]=A60)*
(PRICING[Set]=IF(
_xlfn.XLOOKUP(A60,Rebate_Lookup[SKU CODE],Rebate_Lookup[MOQ_2])=0,
1,
IF(
AND(
_xlfn.XLOOKUP(A60,Rebate_Lookup[SKU CODE],Rebate_Lookup[MOQ_3])=0,
H60&gt;=_xlfn.XLOOKUP(A60,Rebate_Lookup[SKU CODE],Rebate_Lookup[MOQ_2])
),
2,
IF(
AND(
H60&gt;=_xlfn.XLOOKUP(A60,Rebate_Lookup[SKU CODE],Rebate_Lookup[MOQ_1]),
H60&lt;_xlfn.XLOOKUP(A60,Rebate_Lookup[SKU CODE],Rebate_Lookup[MOQ_2])
),
1,
IF(
AND(
H60&gt;=_xlfn.XLOOKUP(A60,Rebate_Lookup[SKU CODE],Rebate_Lookup[MOQ_2]),
OR(
_xlfn.XLOOKUP(A60,Rebate_Lookup[SKU CODE],Rebate_Lookup[MOQ_3])=0,
H60&lt;_xlfn.XLOOKUP(A60,Rebate_Lookup[SKU CODE],Rebate_Lookup[MOQ_3])
)
),
2,
IF(
OR(
AND(
_xlfn.XLOOKUP(A60,Rebate_Lookup[SKU CODE],Rebate_Lookup[MOQ_4])=0,
H60&gt;=_xlfn.XLOOKUP(A60,Rebate_Lookup[SKU CODE],Rebate_Lookup[MOQ_3])
),
AND(
_xlfn.XLOOKUP(A60,Rebate_Lookup[SKU CODE],Rebate_Lookup[MOQ_4])&gt;0,
H60&gt;=_xlfn.XLOOKUP(A60,Rebate_Lookup[SKU CODE],Rebate_Lookup[MOQ_3]),
H60&lt;_xlfn.XLOOKUP(A60,Rebate_Lookup[SKU CODE],Rebate_Lookup[MOQ_4])
)
),
3,
IF(
AND(
_xlfn.XLOOKUP(A60,Rebate_Lookup[SKU CODE],Rebate_Lookup[MOQ_4])&gt;0,
H60&gt;=_xlfn.XLOOKUP(A60,Rebate_Lookup[SKU CODE],Rebate_Lookup[MOQ_4])
),
4,
1
)
)
)
)
)
)),
PRICING[Standard Use Rate (oz/M)]
),
2
))</f>
        <v>3.44</v>
      </c>
      <c r="U60" s="117">
        <f t="shared" si="5"/>
        <v>149.85</v>
      </c>
      <c r="V60" s="45" t="str">
        <f>IF(AND(TRIM(U60)&lt;&gt;"",TRIM(H60)&lt;&gt;""),ROUND(H60*INDEX(PRICING[Package Ounces],MATCH(A60,PRICING[SKU],0))/U60,2),"")</f>
        <v/>
      </c>
      <c r="W60" s="222">
        <f t="shared" si="12"/>
        <v>0</v>
      </c>
      <c r="X60" s="221">
        <f t="shared" si="13"/>
        <v>0</v>
      </c>
      <c r="AA60" s="48"/>
    </row>
    <row r="61" spans="1:27" ht="18.75" customHeight="1" x14ac:dyDescent="0.2">
      <c r="A61" s="175" t="s">
        <v>78</v>
      </c>
      <c r="B61" s="178" t="b">
        <f t="shared" si="0"/>
        <v>0</v>
      </c>
      <c r="D61" s="218" t="str" cm="1">
        <f t="array" ref="D61">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(PRICING[SKU]=$A61)*
            (
                ((PRICING[Rebate $]&lt;&gt;"")*(PRICING[Rebate $]&lt;&gt;0))
                +
                (
                    (
                        ISNUMBER(SEARCH("*Ronstar*FLO*",PRICING[Product]))+
                        ISNUMBER(SEARCH("Altus*",PRICING[Product]))+
                        ISNUMBER(SEARCH("Kontos*",PRICING[Product]))
                    )*
                    (PRICING[Min Qty]&lt;&gt;0)
                )
            )
        )
    ),
    ""
)</f>
        <v>$100.00 off on 6+ units</v>
      </c>
      <c r="E61" s="215" t="str">
        <f>_xlfn.XLOOKUP(A61, PRICING[SKU], PRICING[Product], "")</f>
        <v xml:space="preserve">Tartan® Stressgard® </v>
      </c>
      <c r="F61" s="46" t="str">
        <f>_xlfn.XLOOKUP(A61, PRICING[SKU], PRICING[Size], "")</f>
        <v>2.5 gal</v>
      </c>
      <c r="G61" s="40" t="str">
        <f>IF(_xlfn.XLOOKUP(A61,PRICING[SKU],PRICING[Indication])="I","Insecticide",
 IF(_xlfn.XLOOKUP(A61,PRICING[SKU],PRICING[Indication])="H","Herbicide",
 IF(_xlfn.XLOOKUP(A61,PRICING[SKU],PRICING[Indication])="F","Fungicide",
 IF(_xlfn.XLOOKUP(A61,PRICING[SKU],PRICING[Indication])="PGR","PGR",""))))</f>
        <v>Fungicide</v>
      </c>
      <c r="H61" s="47"/>
      <c r="I61" s="41">
        <f>INDEX(PRICING[2026 In-Season Price],MATCH(A61,PRICING[SKU],0))</f>
        <v>1030.4000000000001</v>
      </c>
      <c r="J61" s="42" t="str">
        <f t="shared" si="8"/>
        <v/>
      </c>
      <c r="K61" s="42">
        <f>INDEX(PRICING[NOW Price],MATCH(A61,PRICING[SKU],0))</f>
        <v>1030.4000000000001</v>
      </c>
      <c r="L61" s="42" t="str">
        <f t="shared" si="9"/>
        <v/>
      </c>
      <c r="M61" s="43">
        <f>INDEX(Rebate_Lookup[Instances],MATCH(A61,Rebate_Lookup[SKU CODE],0))</f>
        <v>2</v>
      </c>
      <c r="N61" s="43" t="str">
        <f>IF(H61="","",INDEX(Rebate_Lookup[Qualified Rebate Tier],MATCH(A61,Rebate_Lookup[SKU CODE],0)))</f>
        <v/>
      </c>
      <c r="O61" s="42" t="str">
        <f>IF(OR(H61="",N61=""),"",
IF(N61=1,INDEX(Rebate_Lookup[REB_MOQ_1],MATCH(A61,Rebate_Lookup[SKU CODE],0)),
IF(N61=2,INDEX(Rebate_Lookup[REB_MOQ_2],MATCH(A61,Rebate_Lookup[SKU CODE],0)),
IF(N61=3,INDEX(Rebate_Lookup[REB_MOQ_3],MATCH(A61,Rebate_Lookup[SKU CODE],0)),
IF(N61=4,INDEX(Rebate_Lookup[REB_MOQ_4],MATCH(A61,Rebate_Lookup[SKU CODE],0)),
"#err")))))</f>
        <v/>
      </c>
      <c r="P61" s="44" t="str">
        <f>IF(L68&gt;5000,IF(OR(O61=0,O61=""),"",H61*O61),"")</f>
        <v/>
      </c>
      <c r="Q61" s="44" t="str">
        <f>IF(
    H61&gt;0,
    IF(
        OR(
            AND(ISNUMBER(SEARCH("Specticle",E61)),ISNUMBER(SEARCH("FLO",E61))),
            AND(ISNUMBER(SEARCH("Ronstar",E61)),ISNUMBER(SEARCH("FLO",E61)))
        ),
        IF(
            AND(_xlfn.XLOOKUP(A61,PRICING[SKU],PRICING[October Bonus],FALSE),$R$10="YES"),
            ROUND(L61*$G$113,2),
            "N/A"
        ),
        IFERROR(
            IF(
                _xlfn.XLOOKUP(A61,PRICING[SKU],PRICING[October Bonus],FALSE),
                ROUND(L61*SUM($G$109:$G$113),2),
                ROUND(L61*SUM($G$109:$G$112),2)
            ),
            ""
        )
    ),
    ""
)</f>
        <v/>
      </c>
      <c r="R61" s="42" t="str">
        <f t="shared" si="10"/>
        <v/>
      </c>
      <c r="S61" s="203" t="str">
        <f t="shared" si="11"/>
        <v/>
      </c>
      <c r="T61" s="204" cm="1">
        <f t="array" ref="T61">IF(OR(H61="",H61=0),
ROUND(_xlfn.XLOOKUP(1,(PRICING[SKU]=A61)*(PRICING[Set]=1),PRICING[Standard Use Rate (oz/M)]),2),ROUND(
_xlfn.XLOOKUP(
1,
(PRICING[SKU]=A61)*
(PRICING[Set]=IF(
_xlfn.XLOOKUP(A61,Rebate_Lookup[SKU CODE],Rebate_Lookup[MOQ_2])=0,
1,
IF(
AND(
_xlfn.XLOOKUP(A61,Rebate_Lookup[SKU CODE],Rebate_Lookup[MOQ_3])=0,
H61&gt;=_xlfn.XLOOKUP(A61,Rebate_Lookup[SKU CODE],Rebate_Lookup[MOQ_2])
),
2,
IF(
AND(
H61&gt;=_xlfn.XLOOKUP(A61,Rebate_Lookup[SKU CODE],Rebate_Lookup[MOQ_1]),
H61&lt;_xlfn.XLOOKUP(A61,Rebate_Lookup[SKU CODE],Rebate_Lookup[MOQ_2])
),
1,
IF(
AND(
H61&gt;=_xlfn.XLOOKUP(A61,Rebate_Lookup[SKU CODE],Rebate_Lookup[MOQ_2]),
OR(
_xlfn.XLOOKUP(A61,Rebate_Lookup[SKU CODE],Rebate_Lookup[MOQ_3])=0,
H61&lt;_xlfn.XLOOKUP(A61,Rebate_Lookup[SKU CODE],Rebate_Lookup[MOQ_3])
)
),
2,
IF(
OR(
AND(
_xlfn.XLOOKUP(A61,Rebate_Lookup[SKU CODE],Rebate_Lookup[MOQ_4])=0,
H61&gt;=_xlfn.XLOOKUP(A61,Rebate_Lookup[SKU CODE],Rebate_Lookup[MOQ_3])
),
AND(
_xlfn.XLOOKUP(A61,Rebate_Lookup[SKU CODE],Rebate_Lookup[MOQ_4])&gt;0,
H61&gt;=_xlfn.XLOOKUP(A61,Rebate_Lookup[SKU CODE],Rebate_Lookup[MOQ_3]),
H61&lt;_xlfn.XLOOKUP(A61,Rebate_Lookup[SKU CODE],Rebate_Lookup[MOQ_4])
)
),
3,
IF(
AND(
_xlfn.XLOOKUP(A61,Rebate_Lookup[SKU CODE],Rebate_Lookup[MOQ_4])&gt;0,
H61&gt;=_xlfn.XLOOKUP(A61,Rebate_Lookup[SKU CODE],Rebate_Lookup[MOQ_4])
),
4,
1
)
)
)
)
)
)),
PRICING[Standard Use Rate (oz/M)]
),
2
))</f>
        <v>1.5</v>
      </c>
      <c r="U61" s="117">
        <f t="shared" si="5"/>
        <v>65.34</v>
      </c>
      <c r="V61" s="45" t="str">
        <f>IF(AND(TRIM(U61)&lt;&gt;"",TRIM(H61)&lt;&gt;""),ROUND(H61*INDEX(PRICING[Package Ounces],MATCH(A61,PRICING[SKU],0))/U61,2),"")</f>
        <v/>
      </c>
      <c r="W61" s="222">
        <f t="shared" si="12"/>
        <v>0</v>
      </c>
      <c r="X61" s="221">
        <f t="shared" si="13"/>
        <v>0</v>
      </c>
      <c r="AA61" s="48"/>
    </row>
    <row r="62" spans="1:27" ht="18.75" customHeight="1" x14ac:dyDescent="0.2">
      <c r="A62" s="175">
        <v>11015981</v>
      </c>
      <c r="B62" s="178" t="b">
        <f t="shared" si="0"/>
        <v>0</v>
      </c>
      <c r="D62" s="218" t="str" cm="1">
        <f t="array" ref="D62">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(PRICING[SKU]=$A62)*
            (
                ((PRICING[Rebate $]&lt;&gt;"")*(PRICING[Rebate $]&lt;&gt;0))
                +
                (
                    (
                        ISNUMBER(SEARCH("*Ronstar*FLO*",PRICING[Product]))+
                        ISNUMBER(SEARCH("Altus*",PRICING[Product]))+
                        ISNUMBER(SEARCH("Kontos*",PRICING[Product]))
                    )*
                    (PRICING[Min Qty]&lt;&gt;0)
                )
            )
        )
    ),
    ""
)</f>
        <v>$32.00 off on 1-2 units; $73.00 off on 3+ units</v>
      </c>
      <c r="E62" s="215" t="str">
        <f>_xlfn.XLOOKUP(A62, PRICING[SKU], PRICING[Product], "")</f>
        <v>Tarvecta™</v>
      </c>
      <c r="F62" s="46" t="str">
        <f>_xlfn.XLOOKUP(A62, PRICING[SKU], PRICING[Size], "")</f>
        <v>64 oz</v>
      </c>
      <c r="G62" s="40" t="str">
        <f>IF(_xlfn.XLOOKUP(A62,PRICING[SKU],PRICING[Indication])="I","Insecticide",
 IF(_xlfn.XLOOKUP(A62,PRICING[SKU],PRICING[Indication])="H","Herbicide",
 IF(_xlfn.XLOOKUP(A62,PRICING[SKU],PRICING[Indication])="F","Fungicide",
 IF(_xlfn.XLOOKUP(A62,PRICING[SKU],PRICING[Indication])="PGR","PGR",""))))</f>
        <v>Fungicide</v>
      </c>
      <c r="H62" s="47"/>
      <c r="I62" s="41">
        <f>INDEX(PRICING[2026 In-Season Price],MATCH(A62,PRICING[SKU],0))</f>
        <v>840.32</v>
      </c>
      <c r="J62" s="42" t="str">
        <f t="shared" si="8"/>
        <v/>
      </c>
      <c r="K62" s="42">
        <f>INDEX(PRICING[NOW Price],MATCH(A62,PRICING[SKU],0))</f>
        <v>380.16</v>
      </c>
      <c r="L62" s="42" t="str">
        <f t="shared" si="9"/>
        <v/>
      </c>
      <c r="M62" s="43">
        <f>INDEX(Rebate_Lookup[Instances],MATCH(A62,Rebate_Lookup[SKU CODE],0))</f>
        <v>2</v>
      </c>
      <c r="N62" s="43" t="str">
        <f>IF(H62="","",INDEX(Rebate_Lookup[Qualified Rebate Tier],MATCH(A62,Rebate_Lookup[SKU CODE],0)))</f>
        <v/>
      </c>
      <c r="O62" s="42" t="str">
        <f>IF(OR(H62="",N62=""),"",
IF(N62=1,INDEX(Rebate_Lookup[REB_MOQ_1],MATCH(A62,Rebate_Lookup[SKU CODE],0)),
IF(N62=2,INDEX(Rebate_Lookup[REB_MOQ_2],MATCH(A62,Rebate_Lookup[SKU CODE],0)),
IF(N62=3,INDEX(Rebate_Lookup[REB_MOQ_3],MATCH(A62,Rebate_Lookup[SKU CODE],0)),
IF(N62=4,INDEX(Rebate_Lookup[REB_MOQ_4],MATCH(A62,Rebate_Lookup[SKU CODE],0)),
"#err")))))</f>
        <v/>
      </c>
      <c r="P62" s="44" t="str">
        <f>IF(L68&gt;5000,IF(OR(O62=0,O62=""),"",H62*O62),"")</f>
        <v/>
      </c>
      <c r="Q62" s="44" t="str">
        <f>IF(
    H62&gt;0,
    IF(
        OR(
            AND(ISNUMBER(SEARCH("Specticle",E62)),ISNUMBER(SEARCH("FLO",E62))),
            AND(ISNUMBER(SEARCH("Ronstar",E62)),ISNUMBER(SEARCH("FLO",E62)))
        ),
        IF(
            AND(_xlfn.XLOOKUP(A62,PRICING[SKU],PRICING[October Bonus],FALSE),$R$10="YES"),
            ROUND(L62*$G$113,2),
            "N/A"
        ),
        IFERROR(
            IF(
                _xlfn.XLOOKUP(A62,PRICING[SKU],PRICING[October Bonus],FALSE),
                ROUND(L62*SUM($G$109:$G$113),2),
                ROUND(L62*SUM($G$109:$G$112),2)
            ),
            ""
        )
    ),
    ""
)</f>
        <v/>
      </c>
      <c r="R62" s="42" t="str">
        <f t="shared" si="10"/>
        <v/>
      </c>
      <c r="S62" s="203" t="str">
        <f t="shared" si="11"/>
        <v/>
      </c>
      <c r="T62" s="204" cm="1">
        <f t="array" ref="T62">IF(OR(H62="",H62=0),
ROUND(_xlfn.XLOOKUP(1,(PRICING[SKU]=A62)*(PRICING[Set]=1),PRICING[Standard Use Rate (oz/M)]),2),ROUND(
_xlfn.XLOOKUP(
1,
(PRICING[SKU]=A62)*
(PRICING[Set]=IF(
_xlfn.XLOOKUP(A62,Rebate_Lookup[SKU CODE],Rebate_Lookup[MOQ_2])=0,
1,
IF(
AND(
_xlfn.XLOOKUP(A62,Rebate_Lookup[SKU CODE],Rebate_Lookup[MOQ_3])=0,
H62&gt;=_xlfn.XLOOKUP(A62,Rebate_Lookup[SKU CODE],Rebate_Lookup[MOQ_2])
),
2,
IF(
AND(
H62&gt;=_xlfn.XLOOKUP(A62,Rebate_Lookup[SKU CODE],Rebate_Lookup[MOQ_1]),
H62&lt;_xlfn.XLOOKUP(A62,Rebate_Lookup[SKU CODE],Rebate_Lookup[MOQ_2])
),
1,
IF(
AND(
H62&gt;=_xlfn.XLOOKUP(A62,Rebate_Lookup[SKU CODE],Rebate_Lookup[MOQ_2]),
OR(
_xlfn.XLOOKUP(A62,Rebate_Lookup[SKU CODE],Rebate_Lookup[MOQ_3])=0,
H62&lt;_xlfn.XLOOKUP(A62,Rebate_Lookup[SKU CODE],Rebate_Lookup[MOQ_3])
)
),
2,
IF(
OR(
AND(
_xlfn.XLOOKUP(A62,Rebate_Lookup[SKU CODE],Rebate_Lookup[MOQ_4])=0,
H62&gt;=_xlfn.XLOOKUP(A62,Rebate_Lookup[SKU CODE],Rebate_Lookup[MOQ_3])
),
AND(
_xlfn.XLOOKUP(A62,Rebate_Lookup[SKU CODE],Rebate_Lookup[MOQ_4])&gt;0,
H62&gt;=_xlfn.XLOOKUP(A62,Rebate_Lookup[SKU CODE],Rebate_Lookup[MOQ_3]),
H62&lt;_xlfn.XLOOKUP(A62,Rebate_Lookup[SKU CODE],Rebate_Lookup[MOQ_4])
)
),
3,
IF(
AND(
_xlfn.XLOOKUP(A62,Rebate_Lookup[SKU CODE],Rebate_Lookup[MOQ_4])&gt;0,
H62&gt;=_xlfn.XLOOKUP(A62,Rebate_Lookup[SKU CODE],Rebate_Lookup[MOQ_4])
),
4,
1
)
)
)
)
)
)),
PRICING[Standard Use Rate (oz/M)]
),
2
))</f>
        <v>0.7</v>
      </c>
      <c r="U62" s="117">
        <f t="shared" si="5"/>
        <v>30.49</v>
      </c>
      <c r="V62" s="45" t="str">
        <f>IF(AND(TRIM(U62)&lt;&gt;"",TRIM(H62)&lt;&gt;""),ROUND(H62*INDEX(PRICING[Package Ounces],MATCH(A62,PRICING[SKU],0))/U62,2),"")</f>
        <v/>
      </c>
      <c r="W62" s="222">
        <f t="shared" si="12"/>
        <v>0</v>
      </c>
      <c r="X62" s="221">
        <f t="shared" si="13"/>
        <v>0</v>
      </c>
      <c r="AA62" s="48"/>
    </row>
    <row r="63" spans="1:27" ht="18.75" customHeight="1" x14ac:dyDescent="0.2">
      <c r="A63" s="175">
        <v>11015990</v>
      </c>
      <c r="B63" s="178" t="b">
        <f t="shared" si="0"/>
        <v>0</v>
      </c>
      <c r="D63" s="218" t="str" cm="1">
        <f t="array" ref="D63">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(PRICING[SKU]=$A63)*
            (
                ((PRICING[Rebate $]&lt;&gt;"")*(PRICING[Rebate $]&lt;&gt;0))
                +
                (
                    (
                        ISNUMBER(SEARCH("*Ronstar*FLO*",PRICING[Product]))+
                        ISNUMBER(SEARCH("Altus*",PRICING[Product]))+
                        ISNUMBER(SEARCH("Kontos*",PRICING[Product]))
                    )*
                    (PRICING[Min Qty]&lt;&gt;0)
                )
            )
        )
    ),
    ""
)</f>
        <v>$140.00 off on 1-3 units; $200.00 off on 4+ units</v>
      </c>
      <c r="E63" s="215" t="str">
        <f>_xlfn.XLOOKUP(A63, PRICING[SKU], PRICING[Product], "")</f>
        <v>Tarvecta™</v>
      </c>
      <c r="F63" s="46" t="str">
        <f>_xlfn.XLOOKUP(A63, PRICING[SKU], PRICING[Size], "")</f>
        <v>2.5 gal</v>
      </c>
      <c r="G63" s="40" t="str">
        <f>IF(_xlfn.XLOOKUP(A63,PRICING[SKU],PRICING[Indication])="I","Insecticide",
 IF(_xlfn.XLOOKUP(A63,PRICING[SKU],PRICING[Indication])="H","Herbicide",
 IF(_xlfn.XLOOKUP(A63,PRICING[SKU],PRICING[Indication])="F","Fungicide",
 IF(_xlfn.XLOOKUP(A63,PRICING[SKU],PRICING[Indication])="PGR","PGR",""))))</f>
        <v>Fungicide</v>
      </c>
      <c r="H63" s="47"/>
      <c r="I63" s="41">
        <f>INDEX(PRICING[2026 In-Season Price],MATCH(A63,PRICING[SKU],0))</f>
        <v>3654.4</v>
      </c>
      <c r="J63" s="42" t="str">
        <f t="shared" si="8"/>
        <v/>
      </c>
      <c r="K63" s="42">
        <f>INDEX(PRICING[NOW Price],MATCH(A63,PRICING[SKU],0))</f>
        <v>1900.8</v>
      </c>
      <c r="L63" s="42" t="str">
        <f t="shared" si="9"/>
        <v/>
      </c>
      <c r="M63" s="43">
        <f>INDEX(Rebate_Lookup[Instances],MATCH(A63,Rebate_Lookup[SKU CODE],0))</f>
        <v>2</v>
      </c>
      <c r="N63" s="43" t="str">
        <f>IF(H63="","",INDEX(Rebate_Lookup[Qualified Rebate Tier],MATCH(A63,Rebate_Lookup[SKU CODE],0)))</f>
        <v/>
      </c>
      <c r="O63" s="42" t="str">
        <f>IF(OR(H63="",N63=""),"",
IF(N63=1,INDEX(Rebate_Lookup[REB_MOQ_1],MATCH(A63,Rebate_Lookup[SKU CODE],0)),
IF(N63=2,INDEX(Rebate_Lookup[REB_MOQ_2],MATCH(A63,Rebate_Lookup[SKU CODE],0)),
IF(N63=3,INDEX(Rebate_Lookup[REB_MOQ_3],MATCH(A63,Rebate_Lookup[SKU CODE],0)),
IF(N63=4,INDEX(Rebate_Lookup[REB_MOQ_4],MATCH(A63,Rebate_Lookup[SKU CODE],0)),
"#err")))))</f>
        <v/>
      </c>
      <c r="P63" s="44" t="str">
        <f>IF(L68&gt;5000,IF(OR(O63=0,O63=""),"",H63*O63),"")</f>
        <v/>
      </c>
      <c r="Q63" s="44" t="str">
        <f>IF(
    H63&gt;0,
    IF(
        OR(
            AND(ISNUMBER(SEARCH("Specticle",E63)),ISNUMBER(SEARCH("FLO",E63))),
            AND(ISNUMBER(SEARCH("Ronstar",E63)),ISNUMBER(SEARCH("FLO",E63)))
        ),
        IF(
            AND(_xlfn.XLOOKUP(A63,PRICING[SKU],PRICING[October Bonus],FALSE),$R$10="YES"),
            ROUND(L63*$G$113,2),
            "N/A"
        ),
        IFERROR(
            IF(
                _xlfn.XLOOKUP(A63,PRICING[SKU],PRICING[October Bonus],FALSE),
                ROUND(L63*SUM($G$109:$G$113),2),
                ROUND(L63*SUM($G$109:$G$112),2)
            ),
            ""
        )
    ),
    ""
)</f>
        <v/>
      </c>
      <c r="R63" s="42" t="str">
        <f t="shared" si="10"/>
        <v/>
      </c>
      <c r="S63" s="203" t="str">
        <f t="shared" si="11"/>
        <v/>
      </c>
      <c r="T63" s="204" cm="1">
        <f t="array" ref="T63">IF(OR(H63="",H63=0),
ROUND(_xlfn.XLOOKUP(1,(PRICING[SKU]=A63)*(PRICING[Set]=1),PRICING[Standard Use Rate (oz/M)]),2),ROUND(
_xlfn.XLOOKUP(
1,
(PRICING[SKU]=A63)*
(PRICING[Set]=IF(
_xlfn.XLOOKUP(A63,Rebate_Lookup[SKU CODE],Rebate_Lookup[MOQ_2])=0,
1,
IF(
AND(
_xlfn.XLOOKUP(A63,Rebate_Lookup[SKU CODE],Rebate_Lookup[MOQ_3])=0,
H63&gt;=_xlfn.XLOOKUP(A63,Rebate_Lookup[SKU CODE],Rebate_Lookup[MOQ_2])
),
2,
IF(
AND(
H63&gt;=_xlfn.XLOOKUP(A63,Rebate_Lookup[SKU CODE],Rebate_Lookup[MOQ_1]),
H63&lt;_xlfn.XLOOKUP(A63,Rebate_Lookup[SKU CODE],Rebate_Lookup[MOQ_2])
),
1,
IF(
AND(
H63&gt;=_xlfn.XLOOKUP(A63,Rebate_Lookup[SKU CODE],Rebate_Lookup[MOQ_2]),
OR(
_xlfn.XLOOKUP(A63,Rebate_Lookup[SKU CODE],Rebate_Lookup[MOQ_3])=0,
H63&lt;_xlfn.XLOOKUP(A63,Rebate_Lookup[SKU CODE],Rebate_Lookup[MOQ_3])
)
),
2,
IF(
OR(
AND(
_xlfn.XLOOKUP(A63,Rebate_Lookup[SKU CODE],Rebate_Lookup[MOQ_4])=0,
H63&gt;=_xlfn.XLOOKUP(A63,Rebate_Lookup[SKU CODE],Rebate_Lookup[MOQ_3])
),
AND(
_xlfn.XLOOKUP(A63,Rebate_Lookup[SKU CODE],Rebate_Lookup[MOQ_4])&gt;0,
H63&gt;=_xlfn.XLOOKUP(A63,Rebate_Lookup[SKU CODE],Rebate_Lookup[MOQ_3]),
H63&lt;_xlfn.XLOOKUP(A63,Rebate_Lookup[SKU CODE],Rebate_Lookup[MOQ_4])
)
),
3,
IF(
AND(
_xlfn.XLOOKUP(A63,Rebate_Lookup[SKU CODE],Rebate_Lookup[MOQ_4])&gt;0,
H63&gt;=_xlfn.XLOOKUP(A63,Rebate_Lookup[SKU CODE],Rebate_Lookup[MOQ_4])
),
4,
1
)
)
)
)
)
)),
PRICING[Standard Use Rate (oz/M)]
),
2
))</f>
        <v>0.7</v>
      </c>
      <c r="U63" s="117">
        <f t="shared" si="5"/>
        <v>30.49</v>
      </c>
      <c r="V63" s="45" t="str">
        <f>IF(AND(TRIM(U63)&lt;&gt;"",TRIM(H63)&lt;&gt;""),ROUND(H63*INDEX(PRICING[Package Ounces],MATCH(A63,PRICING[SKU],0))/U63,2),"")</f>
        <v/>
      </c>
      <c r="W63" s="222">
        <f t="shared" si="12"/>
        <v>0</v>
      </c>
      <c r="X63" s="221">
        <f t="shared" si="13"/>
        <v>0</v>
      </c>
      <c r="AA63" s="48"/>
    </row>
    <row r="64" spans="1:27" ht="18.75" customHeight="1" x14ac:dyDescent="0.2">
      <c r="A64" s="175">
        <v>86797658</v>
      </c>
      <c r="B64" s="178" t="b">
        <f t="shared" si="0"/>
        <v>0</v>
      </c>
      <c r="D64" s="218" t="str" cm="1">
        <f t="array" ref="D64">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(PRICING[SKU]=$A64)*
            (
                ((PRICING[Rebate $]&lt;&gt;"")*(PRICING[Rebate $]&lt;&gt;0))
                +
                (
                    (
                        ISNUMBER(SEARCH("*Ronstar*FLO*",PRICING[Product]))+
                        ISNUMBER(SEARCH("Altus*",PRICING[Product]))+
                        ISNUMBER(SEARCH("Kontos*",PRICING[Product]))
                    )*
                    (PRICING[Min Qty]&lt;&gt;0)
                )
            )
        )
    ),
    ""
)</f>
        <v>$40.00 off on 1-4 units; $160.00 off on 5+ units</v>
      </c>
      <c r="E64" s="215" t="str">
        <f>_xlfn.XLOOKUP(A64, PRICING[SKU], PRICING[Product], "")</f>
        <v>Tetrino®</v>
      </c>
      <c r="F64" s="46" t="str">
        <f>_xlfn.XLOOKUP(A64, PRICING[SKU], PRICING[Size], "")</f>
        <v> 1 gal</v>
      </c>
      <c r="G64" s="40" t="str">
        <f>IF(_xlfn.XLOOKUP(A64,PRICING[SKU],PRICING[Indication])="I","Insecticide",
 IF(_xlfn.XLOOKUP(A64,PRICING[SKU],PRICING[Indication])="H","Herbicide",
 IF(_xlfn.XLOOKUP(A64,PRICING[SKU],PRICING[Indication])="F","Fungicide",
 IF(_xlfn.XLOOKUP(A64,PRICING[SKU],PRICING[Indication])="PGR","PGR",""))))</f>
        <v>Insecticide</v>
      </c>
      <c r="H64" s="47"/>
      <c r="I64" s="41">
        <f>INDEX(PRICING[2026 In-Season Price],MATCH(A64,PRICING[SKU],0))</f>
        <v>606.72</v>
      </c>
      <c r="J64" s="42" t="str">
        <f t="shared" si="8"/>
        <v/>
      </c>
      <c r="K64" s="42">
        <f>INDEX(PRICING[NOW Price],MATCH(A64,PRICING[SKU],0))</f>
        <v>606.72</v>
      </c>
      <c r="L64" s="42" t="str">
        <f t="shared" si="9"/>
        <v/>
      </c>
      <c r="M64" s="43">
        <f>INDEX(Rebate_Lookup[Instances],MATCH(A64,Rebate_Lookup[SKU CODE],0))</f>
        <v>2</v>
      </c>
      <c r="N64" s="43" t="str">
        <f>IF(H64="","",INDEX(Rebate_Lookup[Qualified Rebate Tier],MATCH(A64,Rebate_Lookup[SKU CODE],0)))</f>
        <v/>
      </c>
      <c r="O64" s="42" t="str">
        <f>IF(OR(H64="",N64=""),"",
IF(N64=1,INDEX(Rebate_Lookup[REB_MOQ_1],MATCH(A64,Rebate_Lookup[SKU CODE],0)),
IF(N64=2,INDEX(Rebate_Lookup[REB_MOQ_2],MATCH(A64,Rebate_Lookup[SKU CODE],0)),
IF(N64=3,INDEX(Rebate_Lookup[REB_MOQ_3],MATCH(A64,Rebate_Lookup[SKU CODE],0)),
IF(N64=4,INDEX(Rebate_Lookup[REB_MOQ_4],MATCH(A64,Rebate_Lookup[SKU CODE],0)),
"#err")))))</f>
        <v/>
      </c>
      <c r="P64" s="44" t="str">
        <f>IF(L68&gt;5000,IF(OR(O64=0,O64=""),"",H64*O64),"")</f>
        <v/>
      </c>
      <c r="Q64" s="44" t="str">
        <f>IF(
    H64&gt;0,
    IF(
        OR(
            AND(ISNUMBER(SEARCH("Specticle",E64)),ISNUMBER(SEARCH("FLO",E64))),
            AND(ISNUMBER(SEARCH("Ronstar",E64)),ISNUMBER(SEARCH("FLO",E64)))
        ),
        IF(
            AND(_xlfn.XLOOKUP(A64,PRICING[SKU],PRICING[October Bonus],FALSE),$R$10="YES"),
            ROUND(L64*$G$113,2),
            "N/A"
        ),
        IFERROR(
            IF(
                _xlfn.XLOOKUP(A64,PRICING[SKU],PRICING[October Bonus],FALSE),
                ROUND(L64*SUM($G$109:$G$113),2),
                ROUND(L64*SUM($G$109:$G$112),2)
            ),
            ""
        )
    ),
    ""
)</f>
        <v/>
      </c>
      <c r="R64" s="42" t="str">
        <f t="shared" si="10"/>
        <v/>
      </c>
      <c r="S64" s="203" t="str">
        <f t="shared" si="11"/>
        <v/>
      </c>
      <c r="T64" s="204" cm="1">
        <f t="array" ref="T64">IF(OR(H64="",H64=0),
ROUND(_xlfn.XLOOKUP(1,(PRICING[SKU]=A64)*(PRICING[Set]=1),PRICING[Standard Use Rate (oz/M)]),2),ROUND(
_xlfn.XLOOKUP(
1,
(PRICING[SKU]=A64)*
(PRICING[Set]=IF(
_xlfn.XLOOKUP(A64,Rebate_Lookup[SKU CODE],Rebate_Lookup[MOQ_2])=0,
1,
IF(
AND(
_xlfn.XLOOKUP(A64,Rebate_Lookup[SKU CODE],Rebate_Lookup[MOQ_3])=0,
H64&gt;=_xlfn.XLOOKUP(A64,Rebate_Lookup[SKU CODE],Rebate_Lookup[MOQ_2])
),
2,
IF(
AND(
H64&gt;=_xlfn.XLOOKUP(A64,Rebate_Lookup[SKU CODE],Rebate_Lookup[MOQ_1]),
H64&lt;_xlfn.XLOOKUP(A64,Rebate_Lookup[SKU CODE],Rebate_Lookup[MOQ_2])
),
1,
IF(
AND(
H64&gt;=_xlfn.XLOOKUP(A64,Rebate_Lookup[SKU CODE],Rebate_Lookup[MOQ_2]),
OR(
_xlfn.XLOOKUP(A64,Rebate_Lookup[SKU CODE],Rebate_Lookup[MOQ_3])=0,
H64&lt;_xlfn.XLOOKUP(A64,Rebate_Lookup[SKU CODE],Rebate_Lookup[MOQ_3])
)
),
2,
IF(
OR(
AND(
_xlfn.XLOOKUP(A64,Rebate_Lookup[SKU CODE],Rebate_Lookup[MOQ_4])=0,
H64&gt;=_xlfn.XLOOKUP(A64,Rebate_Lookup[SKU CODE],Rebate_Lookup[MOQ_3])
),
AND(
_xlfn.XLOOKUP(A64,Rebate_Lookup[SKU CODE],Rebate_Lookup[MOQ_4])&gt;0,
H64&gt;=_xlfn.XLOOKUP(A64,Rebate_Lookup[SKU CODE],Rebate_Lookup[MOQ_3]),
H64&lt;_xlfn.XLOOKUP(A64,Rebate_Lookup[SKU CODE],Rebate_Lookup[MOQ_4])
)
),
3,
IF(
AND(
_xlfn.XLOOKUP(A64,Rebate_Lookup[SKU CODE],Rebate_Lookup[MOQ_4])&gt;0,
H64&gt;=_xlfn.XLOOKUP(A64,Rebate_Lookup[SKU CODE],Rebate_Lookup[MOQ_4])
),
4,
1
)
)
)
)
)
)),
PRICING[Standard Use Rate (oz/M)]
),
2
))</f>
        <v>0.73</v>
      </c>
      <c r="U64" s="117">
        <f t="shared" si="5"/>
        <v>31.8</v>
      </c>
      <c r="V64" s="45" t="str">
        <f>IF(AND(TRIM(U64)&lt;&gt;"",TRIM(H64)&lt;&gt;""),ROUND(H64*INDEX(PRICING[Package Ounces],MATCH(A64,PRICING[SKU],0))/U64,2),"")</f>
        <v/>
      </c>
      <c r="W64" s="222">
        <f t="shared" si="12"/>
        <v>0</v>
      </c>
      <c r="X64" s="221">
        <f t="shared" si="13"/>
        <v>0</v>
      </c>
      <c r="AA64" s="48"/>
    </row>
    <row r="65" spans="1:59" ht="18.75" customHeight="1" x14ac:dyDescent="0.2">
      <c r="A65" s="175">
        <v>81746257</v>
      </c>
      <c r="B65" s="178" t="b">
        <f t="shared" si="0"/>
        <v>0</v>
      </c>
      <c r="D65" s="218" t="str" cm="1">
        <f t="array" ref="D65">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(PRICING[SKU]=$A65)*
            (
                ((PRICING[Rebate $]&lt;&gt;"")*(PRICING[Rebate $]&lt;&gt;0))
                +
                (
                    (
                        ISNUMBER(SEARCH("*Ronstar*FLO*",PRICING[Product]))+
                        ISNUMBER(SEARCH("Altus*",PRICING[Product]))+
                        ISNUMBER(SEARCH("Kontos*",PRICING[Product]))
                    )*
                    (PRICING[Min Qty]&lt;&gt;0)
                )
            )
        )
    ),
    ""
)</f>
        <v>$40.00 off on 6+ units</v>
      </c>
      <c r="E65" s="215" t="str">
        <f>_xlfn.XLOOKUP(A65, PRICING[SKU], PRICING[Product], "")</f>
        <v>Tribute® Total</v>
      </c>
      <c r="F65" s="46" t="str">
        <f>_xlfn.XLOOKUP(A65, PRICING[SKU], PRICING[Size], "")</f>
        <v>6 oz</v>
      </c>
      <c r="G65" s="40" t="str">
        <f>IF(_xlfn.XLOOKUP(A65,PRICING[SKU],PRICING[Indication])="I","Insecticide",
 IF(_xlfn.XLOOKUP(A65,PRICING[SKU],PRICING[Indication])="H","Herbicide",
 IF(_xlfn.XLOOKUP(A65,PRICING[SKU],PRICING[Indication])="F","Fungicide",
 IF(_xlfn.XLOOKUP(A65,PRICING[SKU],PRICING[Indication])="PGR","PGR",""))))</f>
        <v>Herbicide</v>
      </c>
      <c r="H65" s="47"/>
      <c r="I65" s="41">
        <f>INDEX(PRICING[2026 In-Season Price],MATCH(A65,PRICING[SKU],0))</f>
        <v>445.8</v>
      </c>
      <c r="J65" s="42" t="str">
        <f t="shared" ref="J65" si="14">IF(H65*I65= 0,"",H65*I65)</f>
        <v/>
      </c>
      <c r="K65" s="42">
        <f>INDEX(PRICING[NOW Price],MATCH(A65,PRICING[SKU],0))</f>
        <v>445.8</v>
      </c>
      <c r="L65" s="42" t="str">
        <f t="shared" ref="L65" si="15">IF(H65*K65= 0,"",ROUND(H65*K65,2))</f>
        <v/>
      </c>
      <c r="M65" s="43">
        <f>INDEX(Rebate_Lookup[Instances],MATCH(A65,Rebate_Lookup[SKU CODE],0))</f>
        <v>2</v>
      </c>
      <c r="N65" s="43" t="str">
        <f>IF(H65="","",INDEX(Rebate_Lookup[Qualified Rebate Tier],MATCH(A65,Rebate_Lookup[SKU CODE],0)))</f>
        <v/>
      </c>
      <c r="O65" s="42" t="str">
        <f>IF(OR(H65="",N65=""),"",
IF(N65=1,INDEX(Rebate_Lookup[REB_MOQ_1],MATCH(A65,Rebate_Lookup[SKU CODE],0)),
IF(N65=2,INDEX(Rebate_Lookup[REB_MOQ_2],MATCH(A65,Rebate_Lookup[SKU CODE],0)),
IF(N65=3,INDEX(Rebate_Lookup[REB_MOQ_3],MATCH(A65,Rebate_Lookup[SKU CODE],0)),
IF(N65=4,INDEX(Rebate_Lookup[REB_MOQ_4],MATCH(A65,Rebate_Lookup[SKU CODE],0)),
"#err")))))</f>
        <v/>
      </c>
      <c r="P65" s="44" t="str">
        <f>IF(L68&gt;5000,IF(OR(O65=0,O65=""),"",H65*O65),"")</f>
        <v/>
      </c>
      <c r="Q65" s="44" t="str">
        <f>IF(
    H65&gt;0,
    IF(
        OR(
            AND(ISNUMBER(SEARCH("Specticle",E65)),ISNUMBER(SEARCH("FLO",E65))),
            AND(ISNUMBER(SEARCH("Ronstar",E65)),ISNUMBER(SEARCH("FLO",E65)))
        ),
        IF(
            AND(_xlfn.XLOOKUP(A65,PRICING[SKU],PRICING[October Bonus],FALSE),$R$10="YES"),
            ROUND(L65*$G$113,2),
            "N/A"
        ),
        IFERROR(
            IF(
                _xlfn.XLOOKUP(A65,PRICING[SKU],PRICING[October Bonus],FALSE),
                ROUND(L65*SUM($G$109:$G$113),2),
                ROUND(L65*SUM($G$109:$G$112),2)
            ),
            ""
        )
    ),
    ""
)</f>
        <v/>
      </c>
      <c r="R65" s="42" t="str">
        <f t="shared" ref="R65" si="16">IFERROR(ROUND((L65-SUM(P65:Q65))/H65,2),"")</f>
        <v/>
      </c>
      <c r="S65" s="203" t="str">
        <f t="shared" ref="S65" si="17">IF(AND(H65&lt;&gt;"",H65&gt;0), ROUND(H65*R65,2),"")</f>
        <v/>
      </c>
      <c r="T65" s="204" cm="1">
        <f t="array" ref="T65">IF(OR(H65="",H65=0),
ROUND(_xlfn.XLOOKUP(1,(PRICING[SKU]=A65)*(PRICING[Set]=1),PRICING[Standard Use Rate (oz/M)]),2),ROUND(
_xlfn.XLOOKUP(
1,
(PRICING[SKU]=A65)*
(PRICING[Set]=IF(
_xlfn.XLOOKUP(A65,Rebate_Lookup[SKU CODE],Rebate_Lookup[MOQ_2])=0,
1,
IF(
AND(
_xlfn.XLOOKUP(A65,Rebate_Lookup[SKU CODE],Rebate_Lookup[MOQ_3])=0,
H65&gt;=_xlfn.XLOOKUP(A65,Rebate_Lookup[SKU CODE],Rebate_Lookup[MOQ_2])
),
2,
IF(
AND(
H65&gt;=_xlfn.XLOOKUP(A65,Rebate_Lookup[SKU CODE],Rebate_Lookup[MOQ_1]),
H65&lt;_xlfn.XLOOKUP(A65,Rebate_Lookup[SKU CODE],Rebate_Lookup[MOQ_2])
),
1,
IF(
AND(
H65&gt;=_xlfn.XLOOKUP(A65,Rebate_Lookup[SKU CODE],Rebate_Lookup[MOQ_2]),
OR(
_xlfn.XLOOKUP(A65,Rebate_Lookup[SKU CODE],Rebate_Lookup[MOQ_3])=0,
H65&lt;_xlfn.XLOOKUP(A65,Rebate_Lookup[SKU CODE],Rebate_Lookup[MOQ_3])
)
),
2,
IF(
OR(
AND(
_xlfn.XLOOKUP(A65,Rebate_Lookup[SKU CODE],Rebate_Lookup[MOQ_4])=0,
H65&gt;=_xlfn.XLOOKUP(A65,Rebate_Lookup[SKU CODE],Rebate_Lookup[MOQ_3])
),
AND(
_xlfn.XLOOKUP(A65,Rebate_Lookup[SKU CODE],Rebate_Lookup[MOQ_4])&gt;0,
H65&gt;=_xlfn.XLOOKUP(A65,Rebate_Lookup[SKU CODE],Rebate_Lookup[MOQ_3]),
H65&lt;_xlfn.XLOOKUP(A65,Rebate_Lookup[SKU CODE],Rebate_Lookup[MOQ_4])
)
),
3,
IF(
AND(
_xlfn.XLOOKUP(A65,Rebate_Lookup[SKU CODE],Rebate_Lookup[MOQ_4])&gt;0,
H65&gt;=_xlfn.XLOOKUP(A65,Rebate_Lookup[SKU CODE],Rebate_Lookup[MOQ_4])
),
4,
1
)
)
)
)
)
)),
PRICING[Standard Use Rate (oz/M)]
),
2
))</f>
        <v>0.02</v>
      </c>
      <c r="U65" s="117">
        <f t="shared" si="5"/>
        <v>0.87</v>
      </c>
      <c r="V65" s="45" t="str">
        <f>IF(AND(TRIM(U65)&lt;&gt;"",TRIM(H65)&lt;&gt;""),ROUND(H65*INDEX(PRICING[Package Ounces],MATCH(A65,PRICING[SKU],0))/U65,2),"")</f>
        <v/>
      </c>
      <c r="W65" s="222">
        <f t="shared" ref="W65" si="18">IF(H65&lt;&gt;0,ROUND(S65/V65,2),0)</f>
        <v>0</v>
      </c>
      <c r="X65" s="221">
        <f t="shared" si="7"/>
        <v>0</v>
      </c>
      <c r="AA65" s="48"/>
    </row>
    <row r="66" spans="1:59" ht="18.75" customHeight="1" x14ac:dyDescent="0.2">
      <c r="A66" s="175">
        <v>11008521</v>
      </c>
      <c r="B66" s="178" t="b">
        <f t="shared" si="0"/>
        <v>0</v>
      </c>
      <c r="D66" s="218" t="str" cm="1">
        <f t="array" ref="D66">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(PRICING[SKU]=$A66)*
            (
                ((PRICING[Rebate $]&lt;&gt;"")*(PRICING[Rebate $]&lt;&gt;0))
                +
                (
                    (
                        ISNUMBER(SEARCH("*Ronstar*FLO*",PRICING[Product]))+
                        ISNUMBER(SEARCH("Altus*",PRICING[Product]))+
                        ISNUMBER(SEARCH("Kontos*",PRICING[Product]))
                    )*
                    (PRICING[Min Qty]&lt;&gt;0)
                )
            )
        )
    ),
    ""
)</f>
        <v>$10.00 off on 8+ units</v>
      </c>
      <c r="E66" s="215" t="str">
        <f>_xlfn.XLOOKUP(A66, PRICING[SKU], PRICING[Product], "")</f>
        <v>Triple Crown® Golf Insecticide (RUP)</v>
      </c>
      <c r="F66" s="46" t="str">
        <f>_xlfn.XLOOKUP(A66, PRICING[SKU], PRICING[Size], "")</f>
        <v>1 gal</v>
      </c>
      <c r="G66" s="40" t="str">
        <f>IF(_xlfn.XLOOKUP(A66,PRICING[SKU],PRICING[Indication])="I","Insecticide",
 IF(_xlfn.XLOOKUP(A66,PRICING[SKU],PRICING[Indication])="H","Herbicide",
 IF(_xlfn.XLOOKUP(A66,PRICING[SKU],PRICING[Indication])="F","Fungicide",
 IF(_xlfn.XLOOKUP(A66,PRICING[SKU],PRICING[Indication])="PGR","PGR",""))))</f>
        <v>Insecticide</v>
      </c>
      <c r="H66" s="207"/>
      <c r="I66" s="41">
        <f>INDEX(PRICING[2026 In-Season Price],MATCH(A66,PRICING[SKU],0))</f>
        <v>371.2</v>
      </c>
      <c r="J66" s="42" t="str">
        <f t="shared" ref="J66" si="19">IF(H66*I66= 0,"",H66*I66)</f>
        <v/>
      </c>
      <c r="K66" s="42">
        <f>INDEX(PRICING[NOW Price],MATCH(A66,PRICING[SKU],0))</f>
        <v>371.2</v>
      </c>
      <c r="L66" s="42" t="str">
        <f t="shared" ref="L66" si="20">IF(H66*K66= 0,"",ROUND(H66*K66,2))</f>
        <v/>
      </c>
      <c r="M66" s="43">
        <f>INDEX(Rebate_Lookup[Instances],MATCH(A66,Rebate_Lookup[SKU CODE],0))</f>
        <v>2</v>
      </c>
      <c r="N66" s="43" t="str">
        <f>IF(H66="","",INDEX(Rebate_Lookup[Qualified Rebate Tier],MATCH(A66,Rebate_Lookup[SKU CODE],0)))</f>
        <v/>
      </c>
      <c r="O66" s="42" t="str">
        <f>IF(OR(H66="",N66=""),"",
IF(N66=1,INDEX(Rebate_Lookup[REB_MOQ_1],MATCH(A66,Rebate_Lookup[SKU CODE],0)),
IF(N66=2,INDEX(Rebate_Lookup[REB_MOQ_2],MATCH(A66,Rebate_Lookup[SKU CODE],0)),
IF(N66=3,INDEX(Rebate_Lookup[REB_MOQ_3],MATCH(A66,Rebate_Lookup[SKU CODE],0)),
IF(N66=4,INDEX(Rebate_Lookup[REB_MOQ_4],MATCH(A66,Rebate_Lookup[SKU CODE],0)),
"#err")))))</f>
        <v/>
      </c>
      <c r="P66" s="44" t="str">
        <f>IF(L68&gt;5000,IF(OR(O66=0,O66=""),"",H66*O66),"")</f>
        <v/>
      </c>
      <c r="Q66" s="44" t="str">
        <f>IF(
    H66&gt;0,
    IF(
        OR(
            AND(ISNUMBER(SEARCH("Specticle",E66)),ISNUMBER(SEARCH("FLO",E66))),
            AND(ISNUMBER(SEARCH("Ronstar",E66)),ISNUMBER(SEARCH("FLO",E66)))
        ),
        IF(
            AND(_xlfn.XLOOKUP(A66,PRICING[SKU],PRICING[October Bonus],FALSE),$R$10="YES"),
            ROUND(L66*$G$113,2),
            "N/A"
        ),
        IFERROR(
            IF(
                _xlfn.XLOOKUP(A66,PRICING[SKU],PRICING[October Bonus],FALSE),
                ROUND(L66*SUM($G$109:$G$113),2),
                ROUND(L66*SUM($G$109:$G$112),2)
            ),
            ""
        )
    ),
    ""
)</f>
        <v/>
      </c>
      <c r="R66" s="42" t="str">
        <f t="shared" ref="R66" si="21">IFERROR(ROUND((L66-SUM(P66:Q66))/H66,2),"")</f>
        <v/>
      </c>
      <c r="S66" s="203" t="str">
        <f t="shared" ref="S66" si="22">IF(AND(H66&lt;&gt;"",H66&gt;0), ROUND(H66*R66,2),"")</f>
        <v/>
      </c>
      <c r="T66" s="204" cm="1">
        <f t="array" ref="T66">IF(OR(H66="",H66=0),
ROUND(_xlfn.XLOOKUP(1,(PRICING[SKU]=A66)*(PRICING[Set]=1),PRICING[Standard Use Rate (oz/M)]),2),ROUND(
_xlfn.XLOOKUP(
1,
(PRICING[SKU]=A66)*
(PRICING[Set]=IF(
_xlfn.XLOOKUP(A66,Rebate_Lookup[SKU CODE],Rebate_Lookup[MOQ_2])=0,
1,
IF(
AND(
_xlfn.XLOOKUP(A66,Rebate_Lookup[SKU CODE],Rebate_Lookup[MOQ_3])=0,
H66&gt;=_xlfn.XLOOKUP(A66,Rebate_Lookup[SKU CODE],Rebate_Lookup[MOQ_2])
),
2,
IF(
AND(
H66&gt;=_xlfn.XLOOKUP(A66,Rebate_Lookup[SKU CODE],Rebate_Lookup[MOQ_1]),
H66&lt;_xlfn.XLOOKUP(A66,Rebate_Lookup[SKU CODE],Rebate_Lookup[MOQ_2])
),
1,
IF(
AND(
H66&gt;=_xlfn.XLOOKUP(A66,Rebate_Lookup[SKU CODE],Rebate_Lookup[MOQ_2]),
OR(
_xlfn.XLOOKUP(A66,Rebate_Lookup[SKU CODE],Rebate_Lookup[MOQ_3])=0,
H66&lt;_xlfn.XLOOKUP(A66,Rebate_Lookup[SKU CODE],Rebate_Lookup[MOQ_3])
)
),
2,
IF(
OR(
AND(
_xlfn.XLOOKUP(A66,Rebate_Lookup[SKU CODE],Rebate_Lookup[MOQ_4])=0,
H66&gt;=_xlfn.XLOOKUP(A66,Rebate_Lookup[SKU CODE],Rebate_Lookup[MOQ_3])
),
AND(
_xlfn.XLOOKUP(A66,Rebate_Lookup[SKU CODE],Rebate_Lookup[MOQ_4])&gt;0,
H66&gt;=_xlfn.XLOOKUP(A66,Rebate_Lookup[SKU CODE],Rebate_Lookup[MOQ_3]),
H66&lt;_xlfn.XLOOKUP(A66,Rebate_Lookup[SKU CODE],Rebate_Lookup[MOQ_4])
)
),
3,
IF(
AND(
_xlfn.XLOOKUP(A66,Rebate_Lookup[SKU CODE],Rebate_Lookup[MOQ_4])&gt;0,
H66&gt;=_xlfn.XLOOKUP(A66,Rebate_Lookup[SKU CODE],Rebate_Lookup[MOQ_4])
),
4,
1
)
)
)
)
)
)),
PRICING[Standard Use Rate (oz/M)]
),
2
))</f>
        <v>0.56999999999999995</v>
      </c>
      <c r="U66" s="117">
        <f t="shared" si="5"/>
        <v>24.83</v>
      </c>
      <c r="V66" s="45" t="str">
        <f>IF(AND(TRIM(U66)&lt;&gt;"",TRIM(H66)&lt;&gt;""),ROUND(H66*INDEX(PRICING[Package Ounces],MATCH(A66,PRICING[SKU],0))/U66,2),"")</f>
        <v/>
      </c>
      <c r="W66" s="222">
        <f t="shared" ref="W66" si="23">IF(H66&lt;&gt;0,ROUND(S66/V66,2),0)</f>
        <v>0</v>
      </c>
      <c r="X66" s="221">
        <f t="shared" ref="X66" si="24">ROUND(W66/43.56,2)</f>
        <v>0</v>
      </c>
      <c r="AA66" s="48"/>
    </row>
    <row r="67" spans="1:59" ht="18.75" customHeight="1" thickBot="1" x14ac:dyDescent="0.25">
      <c r="A67" s="175">
        <v>11008590</v>
      </c>
      <c r="B67" s="178" t="b">
        <f t="shared" si="0"/>
        <v>0</v>
      </c>
      <c r="D67" s="219" t="str" cm="1">
        <f t="array" ref="D67">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(PRICING[SKU]=$A67)*
            (
                ((PRICING[Rebate $]&lt;&gt;"")*(PRICING[Rebate $]&lt;&gt;0))
                +
                (
                    (
                        ISNUMBER(SEARCH("*Ronstar*FLO*",PRICING[Product]))+
                        ISNUMBER(SEARCH("Altus*",PRICING[Product]))+
                        ISNUMBER(SEARCH("Kontos*",PRICING[Product]))
                    )*
                    (PRICING[Min Qty]&lt;&gt;0)
                )
            )
        )
    ),
    ""
)</f>
        <v>$25.00 off on 1-23 units; $50.00 off on 24+ units</v>
      </c>
      <c r="E67" s="216" t="str">
        <f>_xlfn.XLOOKUP(A67, PRICING[SKU], PRICING[Product], "")</f>
        <v>Xonerate® 2SC Herbicide</v>
      </c>
      <c r="F67" s="205" t="str">
        <f>_xlfn.XLOOKUP(A67, PRICING[SKU], PRICING[Size], "")</f>
        <v>12 oz</v>
      </c>
      <c r="G67" s="206" t="str">
        <f>IF(_xlfn.XLOOKUP(A67,PRICING[SKU],PRICING[Indication])="I","Insecticide",
 IF(_xlfn.XLOOKUP(A67,PRICING[SKU],PRICING[Indication])="H","Herbicide",
 IF(_xlfn.XLOOKUP(A67,PRICING[SKU],PRICING[Indication])="F","Fungicide",
 IF(_xlfn.XLOOKUP(A67,PRICING[SKU],PRICING[Indication])="PGR","PGR",""))))</f>
        <v>Herbicide</v>
      </c>
      <c r="H67" s="207"/>
      <c r="I67" s="208">
        <f>INDEX(PRICING[2026 In-Season Price],MATCH(A67,PRICING[SKU],0))</f>
        <v>496.32</v>
      </c>
      <c r="J67" s="209" t="str">
        <f t="shared" si="1"/>
        <v/>
      </c>
      <c r="K67" s="209">
        <f>INDEX(PRICING[NOW Price],MATCH(A67,PRICING[SKU],0))</f>
        <v>351.12</v>
      </c>
      <c r="L67" s="209" t="str">
        <f t="shared" si="2"/>
        <v/>
      </c>
      <c r="M67" s="210">
        <f>INDEX(Rebate_Lookup[Instances],MATCH(A67,Rebate_Lookup[SKU CODE],0))</f>
        <v>2</v>
      </c>
      <c r="N67" s="210" t="str">
        <f>IF(H67="","",INDEX(Rebate_Lookup[Qualified Rebate Tier],MATCH(A67,Rebate_Lookup[SKU CODE],0)))</f>
        <v/>
      </c>
      <c r="O67" s="209" t="str">
        <f>IF(OR(H67="",N67=""),"",
IF(N67=1,INDEX(Rebate_Lookup[REB_MOQ_1],MATCH(A67,Rebate_Lookup[SKU CODE],0)),
IF(N67=2,INDEX(Rebate_Lookup[REB_MOQ_2],MATCH(A67,Rebate_Lookup[SKU CODE],0)),
IF(N67=3,INDEX(Rebate_Lookup[REB_MOQ_3],MATCH(A67,Rebate_Lookup[SKU CODE],0)),
IF(N67=4,INDEX(Rebate_Lookup[REB_MOQ_4],MATCH(A67,Rebate_Lookup[SKU CODE],0)),
"#err")))))</f>
        <v/>
      </c>
      <c r="P67" s="44" t="str">
        <f>IF(L68&gt;5000,IF(OR(O67=0,O67=""),"",H67*O67),"")</f>
        <v/>
      </c>
      <c r="Q67" s="211" t="str">
        <f>IF(
    H67&gt;0,
    IF(
        OR(
            AND(ISNUMBER(SEARCH("Specticle",E67)),ISNUMBER(SEARCH("FLO",E67))),
            AND(ISNUMBER(SEARCH("Ronstar",E67)),ISNUMBER(SEARCH("FLO",E67)))
        ),
        IF(
            AND(_xlfn.XLOOKUP(A67,PRICING[SKU],PRICING[October Bonus],FALSE),$R$10="YES"),
            ROUND(L67*$G$113,2),
            "N/A"
        ),
        IFERROR(
            IF(
                _xlfn.XLOOKUP(A67,PRICING[SKU],PRICING[October Bonus],FALSE),
                ROUND(L67*SUM($G$109:$G$113),2),
                ROUND(L67*SUM($G$109:$G$112),2)
            ),
            ""
        )
    ),
    ""
)</f>
        <v/>
      </c>
      <c r="R67" s="209" t="str">
        <f t="shared" si="3"/>
        <v/>
      </c>
      <c r="S67" s="212" t="str">
        <f t="shared" si="4"/>
        <v/>
      </c>
      <c r="T67" s="204" cm="1">
        <f t="array" ref="T67">IF(OR(H67="",H67=0),
ROUND(_xlfn.XLOOKUP(1,(PRICING[SKU]=A67)*(PRICING[Set]=1),PRICING[Standard Use Rate (oz/M)]),2),ROUND(
_xlfn.XLOOKUP(
1,
(PRICING[SKU]=A67)*
(PRICING[Set]=IF(
_xlfn.XLOOKUP(A67,Rebate_Lookup[SKU CODE],Rebate_Lookup[MOQ_2])=0,
1,
IF(
AND(
_xlfn.XLOOKUP(A67,Rebate_Lookup[SKU CODE],Rebate_Lookup[MOQ_3])=0,
H67&gt;=_xlfn.XLOOKUP(A67,Rebate_Lookup[SKU CODE],Rebate_Lookup[MOQ_2])
),
2,
IF(
AND(
H67&gt;=_xlfn.XLOOKUP(A67,Rebate_Lookup[SKU CODE],Rebate_Lookup[MOQ_1]),
H67&lt;_xlfn.XLOOKUP(A67,Rebate_Lookup[SKU CODE],Rebate_Lookup[MOQ_2])
),
1,
IF(
AND(
H67&gt;=_xlfn.XLOOKUP(A67,Rebate_Lookup[SKU CODE],Rebate_Lookup[MOQ_2]),
OR(
_xlfn.XLOOKUP(A67,Rebate_Lookup[SKU CODE],Rebate_Lookup[MOQ_3])=0,
H67&lt;_xlfn.XLOOKUP(A67,Rebate_Lookup[SKU CODE],Rebate_Lookup[MOQ_3])
)
),
2,
IF(
OR(
AND(
_xlfn.XLOOKUP(A67,Rebate_Lookup[SKU CODE],Rebate_Lookup[MOQ_4])=0,
H67&gt;=_xlfn.XLOOKUP(A67,Rebate_Lookup[SKU CODE],Rebate_Lookup[MOQ_3])
),
AND(
_xlfn.XLOOKUP(A67,Rebate_Lookup[SKU CODE],Rebate_Lookup[MOQ_4])&gt;0,
H67&gt;=_xlfn.XLOOKUP(A67,Rebate_Lookup[SKU CODE],Rebate_Lookup[MOQ_3]),
H67&lt;_xlfn.XLOOKUP(A67,Rebate_Lookup[SKU CODE],Rebate_Lookup[MOQ_4])
)
),
3,
IF(
AND(
_xlfn.XLOOKUP(A67,Rebate_Lookup[SKU CODE],Rebate_Lookup[MOQ_4])&gt;0,
H67&gt;=_xlfn.XLOOKUP(A67,Rebate_Lookup[SKU CODE],Rebate_Lookup[MOQ_4])
),
4,
1
)
)
)
)
)
)),
PRICING[Standard Use Rate (oz/M)]
),
2
))</f>
        <v>0.32</v>
      </c>
      <c r="U67" s="117">
        <f t="shared" si="5"/>
        <v>13.94</v>
      </c>
      <c r="V67" s="213" t="str">
        <f>IF(AND(TRIM(U67)&lt;&gt;"",TRIM(H67)&lt;&gt;""),ROUND(H67*INDEX(PRICING[Package Ounces],MATCH(A67,PRICING[SKU],0))/U67,2),"")</f>
        <v/>
      </c>
      <c r="W67" s="223">
        <f t="shared" si="6"/>
        <v>0</v>
      </c>
      <c r="X67" s="221">
        <f t="shared" si="7"/>
        <v>0</v>
      </c>
      <c r="AA67" s="48"/>
    </row>
    <row r="68" spans="1:59" ht="27" customHeight="1" thickBot="1" x14ac:dyDescent="0.25">
      <c r="A68" s="182"/>
      <c r="B68" s="182"/>
      <c r="D68" s="240"/>
      <c r="E68" s="120"/>
      <c r="F68" s="120"/>
      <c r="G68" s="120"/>
      <c r="H68" s="120"/>
      <c r="I68" s="120"/>
      <c r="J68" s="121">
        <f>SUM(J15:J67)</f>
        <v>0</v>
      </c>
      <c r="K68" s="120"/>
      <c r="L68" s="121">
        <f>SUM(L15:L67)</f>
        <v>0</v>
      </c>
      <c r="M68" s="120"/>
      <c r="N68" s="120"/>
      <c r="O68" s="120"/>
      <c r="P68" s="121">
        <f>SUM(P15:P67)</f>
        <v>0</v>
      </c>
      <c r="Q68" s="121">
        <f>SUM(Q15:Q67)</f>
        <v>0</v>
      </c>
      <c r="R68" s="120" t="str">
        <f t="shared" si="3"/>
        <v/>
      </c>
      <c r="S68" s="121">
        <f>SUM(S15:S67)</f>
        <v>0</v>
      </c>
      <c r="T68" s="120"/>
      <c r="U68" s="120"/>
      <c r="V68" s="120"/>
      <c r="W68" s="120"/>
      <c r="X68" s="122"/>
    </row>
    <row r="69" spans="1:59" ht="13" customHeight="1" x14ac:dyDescent="0.25">
      <c r="F69" s="49"/>
      <c r="G69" s="49"/>
      <c r="H69" s="49"/>
      <c r="R69" s="50"/>
      <c r="S69" s="50"/>
      <c r="T69" s="50"/>
      <c r="U69" s="50"/>
      <c r="V69" s="50"/>
      <c r="W69" s="50"/>
    </row>
    <row r="70" spans="1:59" ht="13" customHeight="1" x14ac:dyDescent="0.25">
      <c r="H70" s="49"/>
      <c r="I70" s="49"/>
      <c r="J70" s="49"/>
      <c r="T70" s="50"/>
      <c r="U70" s="50"/>
      <c r="V70" s="50"/>
      <c r="W70" s="50"/>
      <c r="Y70" s="50"/>
      <c r="Z70" s="50"/>
      <c r="AA70" s="98"/>
      <c r="AB70" s="98"/>
      <c r="AC70" s="98"/>
      <c r="AD70" s="98"/>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c r="BC70" s="98"/>
      <c r="BD70" s="98"/>
      <c r="BE70" s="98"/>
      <c r="BF70" s="98"/>
      <c r="BG70" s="98"/>
    </row>
    <row r="71" spans="1:59" s="112" customFormat="1" ht="21" customHeight="1" thickBot="1" x14ac:dyDescent="0.25">
      <c r="A71" s="110"/>
      <c r="B71" s="111"/>
      <c r="D71" s="113" t="s">
        <v>79</v>
      </c>
      <c r="J71" s="36" t="s">
        <v>24</v>
      </c>
      <c r="M71" s="36" t="s">
        <v>24</v>
      </c>
      <c r="N71" s="36" t="s">
        <v>24</v>
      </c>
      <c r="O71" s="36" t="s">
        <v>24</v>
      </c>
    </row>
    <row r="72" spans="1:59" ht="53.25" customHeight="1" thickBot="1" x14ac:dyDescent="0.25">
      <c r="A72" s="155"/>
      <c r="B72" s="155"/>
      <c r="D72" s="184" t="s">
        <v>80</v>
      </c>
      <c r="E72" s="185" t="s">
        <v>28</v>
      </c>
      <c r="F72" s="186" t="s">
        <v>29</v>
      </c>
      <c r="G72" s="186" t="s">
        <v>30</v>
      </c>
      <c r="H72" s="187" t="s">
        <v>31</v>
      </c>
      <c r="I72" s="188" t="s">
        <v>81</v>
      </c>
      <c r="J72" s="188" t="s">
        <v>82</v>
      </c>
      <c r="K72" s="188" t="s">
        <v>83</v>
      </c>
      <c r="L72" s="188" t="s">
        <v>84</v>
      </c>
      <c r="M72" s="188" t="s">
        <v>85</v>
      </c>
      <c r="N72" s="189" t="s">
        <v>86</v>
      </c>
      <c r="O72" s="190" t="s">
        <v>37</v>
      </c>
      <c r="P72" s="188" t="s">
        <v>87</v>
      </c>
      <c r="Q72" s="191" t="s">
        <v>88</v>
      </c>
      <c r="R72" s="114"/>
      <c r="S72" s="115"/>
      <c r="T72" s="225" t="s">
        <v>43</v>
      </c>
      <c r="U72" s="226" t="s">
        <v>44</v>
      </c>
      <c r="V72" s="227" t="s">
        <v>45</v>
      </c>
      <c r="W72" s="228" t="s">
        <v>46</v>
      </c>
      <c r="X72" s="228" t="s">
        <v>89</v>
      </c>
      <c r="Y72" s="98"/>
      <c r="Z72" s="98"/>
      <c r="AA72" s="98"/>
      <c r="AB72" s="98"/>
      <c r="AC72" s="98"/>
      <c r="AD72" s="98"/>
      <c r="AE72" s="98"/>
      <c r="AF72" s="98"/>
      <c r="AG72" s="98"/>
      <c r="AH72" s="98"/>
      <c r="AI72" s="98"/>
      <c r="AJ72" s="98"/>
      <c r="AK72" s="98"/>
      <c r="AL72" s="98"/>
      <c r="AM72" s="98"/>
      <c r="AN72" s="98"/>
      <c r="AO72" s="98"/>
      <c r="AP72" s="98"/>
      <c r="AQ72" s="98"/>
      <c r="AR72" s="98"/>
      <c r="AS72" s="98"/>
      <c r="AT72" s="98"/>
      <c r="AU72" s="98"/>
      <c r="AV72" s="98"/>
      <c r="AW72" s="98"/>
      <c r="AX72" s="98"/>
      <c r="AY72" s="98"/>
      <c r="AZ72" s="98"/>
      <c r="BA72" s="98"/>
      <c r="BB72" s="98"/>
      <c r="BC72" s="98"/>
      <c r="BD72" s="98"/>
      <c r="BE72" s="98"/>
    </row>
    <row r="73" spans="1:59" ht="18" customHeight="1" thickBot="1" x14ac:dyDescent="0.25">
      <c r="A73" s="172">
        <v>4250930</v>
      </c>
      <c r="B73" s="173" t="b">
        <f>H73&gt;0</f>
        <v>0</v>
      </c>
      <c r="D73" s="242" t="str" cm="1">
        <f t="array" ref="D73">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(PRICING[SKU]=$A73)*
            (
                ((PRICING[Rebate $]&lt;&gt;"")*(PRICING[Rebate $]&lt;&gt;0))
                +
                (
                    (
                        ISNUMBER(SEARCH("*Ronstar*FLO*",PRICING[Product]))+
                        ISNUMBER(SEARCH("Altus*",PRICING[Product]))+
                        ISNUMBER(SEARCH("Kontos*",PRICING[Product]))
                    )*
                    (PRICING[Min Qty]&lt;&gt;0)
                )
            )
        )
    ),
    ""
)</f>
        <v>$31.00 off on 1 unit</v>
      </c>
      <c r="E73" s="241" t="str">
        <f>_xlfn.XLOOKUP(A73, PRICING[SKU], PRICING[Product], "")</f>
        <v>26GT™</v>
      </c>
      <c r="F73" s="194" t="str">
        <f>_xlfn.XLOOKUP(A73, PRICING[SKU], PRICING[Size], "")</f>
        <v>2.5 gal</v>
      </c>
      <c r="G73" s="195" t="str">
        <f>IF(_xlfn.XLOOKUP(A73,PRICING[SKU],PRICING[Indication])="I","Insecticide",
 IF(_xlfn.XLOOKUP(A73,PRICING[SKU],PRICING[Indication])="H","Herbicide",
 IF(_xlfn.XLOOKUP(A73,PRICING[SKU],PRICING[Indication])="F","Fungicide",
 IF(_xlfn.XLOOKUP(A73,PRICING[SKU],PRICING[Indication])="PGR","PGR",""))))</f>
        <v>Fungicide</v>
      </c>
      <c r="H73" s="196"/>
      <c r="I73" s="197"/>
      <c r="J73" s="198">
        <f>INDEX(PRICING[NOW Price],MATCH(A73,PRICING[SKU],0))</f>
        <v>539.95000000000005</v>
      </c>
      <c r="K73" s="198" t="str">
        <f>IF(OR(H73="",O73=""),"",
IF(O73=1,INDEX(Rebate_Lookup[REB_MOQ_1],MATCH(A73,Rebate_Lookup[SKU CODE],0)),
IF(O73=2,INDEX(Rebate_Lookup[REB_MOQ_2],MATCH(A73,Rebate_Lookup[SKU CODE],0)),
IF(O73=3,INDEX(Rebate_Lookup[REB_MOQ_3],MATCH(A73,Rebate_Lookup[SKU CODE],0)),
IF(O73=4,INDEX(Rebate_Lookup[REB_MOQ_4],MATCH(A73,Rebate_Lookup[SKU CODE],0)),
"#err")))))</f>
        <v/>
      </c>
      <c r="L73" s="198" t="str">
        <f>IF(H73*I73= 0,"",ROUND(H73*I73,2))</f>
        <v/>
      </c>
      <c r="M73" s="199" t="str">
        <f>IF(OR(H73=0,J73=""),"", H73*J73)</f>
        <v/>
      </c>
      <c r="N73" s="199" t="str">
        <f>IF(OR(H73=0,H73=""),"",M73)</f>
        <v/>
      </c>
      <c r="O73" s="200" t="str">
        <f>IF(H73="","",INDEX(Rebate_Lookup[Qualified Rebate Tier],MATCH(A73,Rebate_Lookup[SKU CODE],0)))</f>
        <v/>
      </c>
      <c r="P73" s="198" t="str">
        <f>IF(
    K73="",
    IF(OR(H73=0,H73=""),"",L73),
    IF(OR(H73=0,H73=""),"",ROUND((I73-K73)*H73,2))
)</f>
        <v/>
      </c>
      <c r="Q73" s="201" t="str">
        <f>IF(OR(ISBLANK(H73),ISBLANK(I73)),"",ROUND(P73/H73,2))</f>
        <v/>
      </c>
      <c r="R73" s="183"/>
      <c r="S73" s="183"/>
      <c r="T73" s="229" cm="1">
        <f t="array" ref="T73">IF(OR(H73="",H73=0),
ROUND(_xlfn.XLOOKUP(1,(PRICING[SKU]=A73)*(PRICING[Set]=1),PRICING[Standard Use Rate (oz/M)]),2),ROUND(
_xlfn.XLOOKUP(
1,
(PRICING[SKU]=A73)*
(PRICING[Set]=IF(
_xlfn.XLOOKUP(A73,Rebate_Lookup[SKU CODE],Rebate_Lookup[MOQ_2])=0,
1,
IF(
AND(
_xlfn.XLOOKUP(A73,Rebate_Lookup[SKU CODE],Rebate_Lookup[MOQ_3])=0,
H73&gt;=_xlfn.XLOOKUP(A73,Rebate_Lookup[SKU CODE],Rebate_Lookup[MOQ_2])
),
2,
IF(
AND(
H73&gt;=_xlfn.XLOOKUP(A73,Rebate_Lookup[SKU CODE],Rebate_Lookup[MOQ_1]),
H73&lt;_xlfn.XLOOKUP(A73,Rebate_Lookup[SKU CODE],Rebate_Lookup[MOQ_2])
),
1,
IF(
AND(
H73&gt;=_xlfn.XLOOKUP(A73,Rebate_Lookup[SKU CODE],Rebate_Lookup[MOQ_2]),
OR(
_xlfn.XLOOKUP(A73,Rebate_Lookup[SKU CODE],Rebate_Lookup[MOQ_3])=0,
H73&lt;_xlfn.XLOOKUP(A73,Rebate_Lookup[SKU CODE],Rebate_Lookup[MOQ_3])
)
),
2,
IF(
OR(
AND(
_xlfn.XLOOKUP(A73,Rebate_Lookup[SKU CODE],Rebate_Lookup[MOQ_4])=0,
H73&gt;=_xlfn.XLOOKUP(A73,Rebate_Lookup[SKU CODE],Rebate_Lookup[MOQ_3])
),
AND(
_xlfn.XLOOKUP(A73,Rebate_Lookup[SKU CODE],Rebate_Lookup[MOQ_4])&gt;0,
H73&gt;=_xlfn.XLOOKUP(A73,Rebate_Lookup[SKU CODE],Rebate_Lookup[MOQ_3]),
H73&lt;_xlfn.XLOOKUP(A73,Rebate_Lookup[SKU CODE],Rebate_Lookup[MOQ_4])
)
),
3,
IF(
AND(
_xlfn.XLOOKUP(A73,Rebate_Lookup[SKU CODE],Rebate_Lookup[MOQ_4])&gt;0,
H73&gt;=_xlfn.XLOOKUP(A73,Rebate_Lookup[SKU CODE],Rebate_Lookup[MOQ_4])
),
4,
1
)
)
)
)
)
)),
PRICING[Standard Use Rate (oz/M)]
),
2
))</f>
        <v>4</v>
      </c>
      <c r="U73" s="143">
        <f>ROUND(T73*43.56,2)</f>
        <v>174.24</v>
      </c>
      <c r="V73" s="143" t="str">
        <f>IF(AND(TRIM(U73)&lt;&gt;"",TRIM(H73)&lt;&gt;""),ROUND(H73*INDEX(PRICING[Package Ounces],MATCH(A73,PRICING[SKU],0))/U73,2),"")</f>
        <v/>
      </c>
      <c r="W73" s="230">
        <f>IF(H73&lt;&gt;0,ROUND(P73/V73,2),0)</f>
        <v>0</v>
      </c>
      <c r="X73" s="224">
        <f>ROUND(W73/43.56,2)</f>
        <v>0</v>
      </c>
      <c r="Y73" s="98"/>
      <c r="Z73" s="98"/>
      <c r="AA73" s="98"/>
      <c r="AB73" s="98"/>
      <c r="AC73" s="98"/>
      <c r="AD73" s="98"/>
      <c r="AE73" s="98"/>
      <c r="AF73" s="98"/>
      <c r="AG73" s="98"/>
      <c r="AH73" s="98"/>
      <c r="AI73" s="98"/>
      <c r="AJ73" s="98"/>
      <c r="AK73" s="98"/>
      <c r="AL73" s="98"/>
      <c r="AM73" s="98"/>
      <c r="AN73" s="98"/>
      <c r="AO73" s="98"/>
      <c r="AP73" s="98"/>
      <c r="AQ73" s="98"/>
      <c r="AR73" s="98"/>
      <c r="AS73" s="98"/>
      <c r="AT73" s="98"/>
      <c r="AU73" s="98"/>
      <c r="AV73" s="98"/>
      <c r="AW73" s="98"/>
      <c r="AX73" s="98"/>
      <c r="AY73" s="98"/>
      <c r="AZ73" s="98"/>
      <c r="BA73" s="98"/>
      <c r="BB73" s="98"/>
      <c r="BC73" s="98"/>
      <c r="BD73" s="98"/>
      <c r="BE73" s="98"/>
    </row>
    <row r="74" spans="1:59" ht="18" customHeight="1" thickBot="1" x14ac:dyDescent="0.25">
      <c r="A74" s="174">
        <v>87300722</v>
      </c>
      <c r="B74" s="173" t="b">
        <f t="shared" ref="B74:B97" si="25">H74&gt;0</f>
        <v>0</v>
      </c>
      <c r="D74" s="243" t="str" cm="1">
        <f t="array" ref="D74">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(PRICING[SKU]=$A74)*
            (
                ((PRICING[Rebate $]&lt;&gt;"")*(PRICING[Rebate $]&lt;&gt;0))
                +
                (
                    (
                        ISNUMBER(SEARCH("*Ronstar*FLO*",PRICING[Product]))+
                        ISNUMBER(SEARCH("Altus*",PRICING[Product]))+
                        ISNUMBER(SEARCH("Kontos*",PRICING[Product]))
                    )*
                    (PRICING[Min Qty]&lt;&gt;0)
                )
            )
        )
    ),
    ""
)</f>
        <v>$68.00 off on 1 unit</v>
      </c>
      <c r="E74" s="215" t="str">
        <f>_xlfn.XLOOKUP(A74, PRICING[SKU], PRICING[Product], "")</f>
        <v>Acclaim Extra®</v>
      </c>
      <c r="F74" s="46" t="str">
        <f>_xlfn.XLOOKUP(A74, PRICING[SKU], PRICING[Size], "")</f>
        <v>1 gal</v>
      </c>
      <c r="G74" s="178" t="str">
        <f>IF(_xlfn.XLOOKUP(A74,PRICING[SKU],PRICING[Indication])="I","Insecticide",
 IF(_xlfn.XLOOKUP(A74,PRICING[SKU],PRICING[Indication])="H","Herbicide",
 IF(_xlfn.XLOOKUP(A74,PRICING[SKU],PRICING[Indication])="F","Fungicide",
 IF(_xlfn.XLOOKUP(A74,PRICING[SKU],PRICING[Indication])="PGR","PGR",""))))</f>
        <v>Herbicide</v>
      </c>
      <c r="H74" s="109"/>
      <c r="I74" s="192"/>
      <c r="J74" s="118">
        <f>INDEX(PRICING[NOW Price],MATCH(A74,PRICING[SKU],0))</f>
        <v>678.5</v>
      </c>
      <c r="K74" s="118" t="str">
        <f>IF(OR(H74="",O74=""),"",
IF(O74=1,INDEX(Rebate_Lookup[REB_MOQ_1],MATCH(A74,Rebate_Lookup[SKU CODE],0)),
IF(O74=2,INDEX(Rebate_Lookup[REB_MOQ_2],MATCH(A74,Rebate_Lookup[SKU CODE],0)),
IF(O74=3,INDEX(Rebate_Lookup[REB_MOQ_3],MATCH(A74,Rebate_Lookup[SKU CODE],0)),
IF(O74=4,INDEX(Rebate_Lookup[REB_MOQ_4],MATCH(A74,Rebate_Lookup[SKU CODE],0)),
"#err")))))</f>
        <v/>
      </c>
      <c r="L74" s="118" t="str">
        <f t="shared" ref="L74:L97" si="26">IF(H74*I74= 0,"",ROUND(H74*I74,2))</f>
        <v/>
      </c>
      <c r="M74" s="119" t="str">
        <f t="shared" ref="M74:M97" si="27">IF(OR(H74=0,J74=""),"", H74*J74)</f>
        <v/>
      </c>
      <c r="N74" s="119" t="str">
        <f t="shared" ref="N74:N97" si="28">IF(OR(H74=0,H74=""),"",M74)</f>
        <v/>
      </c>
      <c r="O74" s="193" t="str">
        <f>IF(H74="","",INDEX(Rebate_Lookup[Qualified Rebate Tier],MATCH(A74,Rebate_Lookup[SKU CODE],0)))</f>
        <v/>
      </c>
      <c r="P74" s="118" t="str">
        <f t="shared" ref="P74:P97" si="29">IF(
    K74="",
    IF(OR(H74=0,H74=""),"",L74),
    IF(OR(H74=0,H74=""),"",ROUND((I74-K74)*H74,2))
)</f>
        <v/>
      </c>
      <c r="Q74" s="202" t="str">
        <f t="shared" ref="Q74:Q97" si="30">IF(OR(ISBLANK(H74),ISBLANK(I74)),"",ROUND(P74/H74,2))</f>
        <v/>
      </c>
      <c r="R74" s="183"/>
      <c r="S74" s="183"/>
      <c r="T74" s="229" cm="1">
        <f t="array" ref="T74">IF(OR(H74="",H74=0),
ROUND(_xlfn.XLOOKUP(1,(PRICING[SKU]=A74)*(PRICING[Set]=1),PRICING[Standard Use Rate (oz/M)]),2),ROUND(
_xlfn.XLOOKUP(
1,
(PRICING[SKU]=A74)*
(PRICING[Set]=IF(
_xlfn.XLOOKUP(A74,Rebate_Lookup[SKU CODE],Rebate_Lookup[MOQ_2])=0,
1,
IF(
AND(
_xlfn.XLOOKUP(A74,Rebate_Lookup[SKU CODE],Rebate_Lookup[MOQ_3])=0,
H74&gt;=_xlfn.XLOOKUP(A74,Rebate_Lookup[SKU CODE],Rebate_Lookup[MOQ_2])
),
2,
IF(
AND(
H74&gt;=_xlfn.XLOOKUP(A74,Rebate_Lookup[SKU CODE],Rebate_Lookup[MOQ_1]),
H74&lt;_xlfn.XLOOKUP(A74,Rebate_Lookup[SKU CODE],Rebate_Lookup[MOQ_2])
),
1,
IF(
AND(
H74&gt;=_xlfn.XLOOKUP(A74,Rebate_Lookup[SKU CODE],Rebate_Lookup[MOQ_2]),
OR(
_xlfn.XLOOKUP(A74,Rebate_Lookup[SKU CODE],Rebate_Lookup[MOQ_3])=0,
H74&lt;_xlfn.XLOOKUP(A74,Rebate_Lookup[SKU CODE],Rebate_Lookup[MOQ_3])
)
),
2,
IF(
OR(
AND(
_xlfn.XLOOKUP(A74,Rebate_Lookup[SKU CODE],Rebate_Lookup[MOQ_4])=0,
H74&gt;=_xlfn.XLOOKUP(A74,Rebate_Lookup[SKU CODE],Rebate_Lookup[MOQ_3])
),
AND(
_xlfn.XLOOKUP(A74,Rebate_Lookup[SKU CODE],Rebate_Lookup[MOQ_4])&gt;0,
H74&gt;=_xlfn.XLOOKUP(A74,Rebate_Lookup[SKU CODE],Rebate_Lookup[MOQ_3]),
H74&lt;_xlfn.XLOOKUP(A74,Rebate_Lookup[SKU CODE],Rebate_Lookup[MOQ_4])
)
),
3,
IF(
AND(
_xlfn.XLOOKUP(A74,Rebate_Lookup[SKU CODE],Rebate_Lookup[MOQ_4])&gt;0,
H74&gt;=_xlfn.XLOOKUP(A74,Rebate_Lookup[SKU CODE],Rebate_Lookup[MOQ_4])
),
4,
1
)
)
)
)
)
)),
PRICING[Standard Use Rate (oz/M)]
),
2
))</f>
        <v>0</v>
      </c>
      <c r="U74" s="143">
        <f t="shared" ref="U74:U97" si="31">ROUND(T74*43.56,2)</f>
        <v>0</v>
      </c>
      <c r="V74" s="45" t="str">
        <f>IF(AND(TRIM(U74)&lt;&gt;"",TRIM(H74)&lt;&gt;""),ROUND(H74*INDEX(PRICING[Package Ounces],MATCH(A74,PRICING[SKU],0))/U74,2),"")</f>
        <v/>
      </c>
      <c r="W74" s="222">
        <f t="shared" ref="W74:W97" si="32">IF(H74&lt;&gt;0,ROUND(P74/V74,2),0)</f>
        <v>0</v>
      </c>
      <c r="X74" s="231">
        <f t="shared" ref="X74:X97" si="33">ROUND(W74/43.56,2)</f>
        <v>0</v>
      </c>
      <c r="Y74" s="98"/>
      <c r="Z74" s="98"/>
      <c r="AA74" s="98"/>
      <c r="AB74" s="98"/>
      <c r="AC74" s="98"/>
      <c r="AD74" s="98"/>
      <c r="AE74" s="98"/>
      <c r="AF74" s="98"/>
      <c r="AG74" s="98"/>
      <c r="AH74" s="98"/>
      <c r="AI74" s="98"/>
      <c r="AJ74" s="98"/>
      <c r="AK74" s="98"/>
      <c r="AL74" s="98"/>
      <c r="AM74" s="98"/>
      <c r="AN74" s="98"/>
      <c r="AO74" s="98"/>
      <c r="AP74" s="98"/>
      <c r="AQ74" s="98"/>
      <c r="AR74" s="98"/>
      <c r="AS74" s="98"/>
      <c r="AT74" s="98"/>
      <c r="AU74" s="98"/>
      <c r="AV74" s="98"/>
      <c r="AW74" s="98"/>
      <c r="AX74" s="98"/>
      <c r="AY74" s="98"/>
      <c r="AZ74" s="98"/>
      <c r="BA74" s="98"/>
      <c r="BB74" s="98"/>
      <c r="BC74" s="98"/>
      <c r="BD74" s="98"/>
      <c r="BE74" s="98"/>
    </row>
    <row r="75" spans="1:59" ht="18" customHeight="1" thickBot="1" x14ac:dyDescent="0.25">
      <c r="A75" s="175">
        <v>7271250</v>
      </c>
      <c r="B75" s="173" t="b">
        <f t="shared" si="25"/>
        <v>0</v>
      </c>
      <c r="D75" s="243" t="str" cm="1">
        <f t="array" ref="D75">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(PRICING[SKU]=$A75)*
            (
                ((PRICING[Rebate $]&lt;&gt;"")*(PRICING[Rebate $]&lt;&gt;0))
                +
                (
                    (
                        ISNUMBER(SEARCH("*Ronstar*FLO*",PRICING[Product]))+
                        ISNUMBER(SEARCH("Altus*",PRICING[Product]))+
                        ISNUMBER(SEARCH("Kontos*",PRICING[Product]))
                    )*
                    (PRICING[Min Qty]&lt;&gt;0)
                )
            )
        )
    ),
    ""
)</f>
        <v>$10.00 off on 1 unit</v>
      </c>
      <c r="E75" s="215" t="str">
        <f>_xlfn.XLOOKUP(A75, PRICING[SKU], PRICING[Product], "")</f>
        <v>Acclaim Extra®</v>
      </c>
      <c r="F75" s="46" t="str">
        <f>_xlfn.XLOOKUP(A75, PRICING[SKU], PRICING[Size], "")</f>
        <v>16 oz</v>
      </c>
      <c r="G75" s="178" t="str">
        <f>IF(_xlfn.XLOOKUP(A75,PRICING[SKU],PRICING[Indication])="I","Insecticide",
 IF(_xlfn.XLOOKUP(A75,PRICING[SKU],PRICING[Indication])="H","Herbicide",
 IF(_xlfn.XLOOKUP(A75,PRICING[SKU],PRICING[Indication])="F","Fungicide",
 IF(_xlfn.XLOOKUP(A75,PRICING[SKU],PRICING[Indication])="PGR","PGR",""))))</f>
        <v>Herbicide</v>
      </c>
      <c r="H75" s="109"/>
      <c r="I75" s="192"/>
      <c r="J75" s="118">
        <f>INDEX(PRICING[NOW Price],MATCH(A75,PRICING[SKU],0))</f>
        <v>95.68</v>
      </c>
      <c r="K75" s="118" t="str">
        <f>IF(OR(H75="",O75=""),"",
IF(O75=1,INDEX(Rebate_Lookup[REB_MOQ_1],MATCH(A75,Rebate_Lookup[SKU CODE],0)),
IF(O75=2,INDEX(Rebate_Lookup[REB_MOQ_2],MATCH(A75,Rebate_Lookup[SKU CODE],0)),
IF(O75=3,INDEX(Rebate_Lookup[REB_MOQ_3],MATCH(A75,Rebate_Lookup[SKU CODE],0)),
IF(O75=4,INDEX(Rebate_Lookup[REB_MOQ_4],MATCH(A75,Rebate_Lookup[SKU CODE],0)),
"#err")))))</f>
        <v/>
      </c>
      <c r="L75" s="118" t="str">
        <f t="shared" si="26"/>
        <v/>
      </c>
      <c r="M75" s="119" t="str">
        <f t="shared" si="27"/>
        <v/>
      </c>
      <c r="N75" s="119" t="str">
        <f t="shared" si="28"/>
        <v/>
      </c>
      <c r="O75" s="193" t="str">
        <f>IF(H75="","",INDEX(Rebate_Lookup[Qualified Rebate Tier],MATCH(A75,Rebate_Lookup[SKU CODE],0)))</f>
        <v/>
      </c>
      <c r="P75" s="118" t="str">
        <f t="shared" si="29"/>
        <v/>
      </c>
      <c r="Q75" s="202" t="str">
        <f t="shared" si="30"/>
        <v/>
      </c>
      <c r="R75" s="183"/>
      <c r="S75" s="183"/>
      <c r="T75" s="229" cm="1">
        <f t="array" ref="T75">IF(OR(H75="",H75=0),
ROUND(_xlfn.XLOOKUP(1,(PRICING[SKU]=A75)*(PRICING[Set]=1),PRICING[Standard Use Rate (oz/M)]),2),ROUND(
_xlfn.XLOOKUP(
1,
(PRICING[SKU]=A75)*
(PRICING[Set]=IF(
_xlfn.XLOOKUP(A75,Rebate_Lookup[SKU CODE],Rebate_Lookup[MOQ_2])=0,
1,
IF(
AND(
_xlfn.XLOOKUP(A75,Rebate_Lookup[SKU CODE],Rebate_Lookup[MOQ_3])=0,
H75&gt;=_xlfn.XLOOKUP(A75,Rebate_Lookup[SKU CODE],Rebate_Lookup[MOQ_2])
),
2,
IF(
AND(
H75&gt;=_xlfn.XLOOKUP(A75,Rebate_Lookup[SKU CODE],Rebate_Lookup[MOQ_1]),
H75&lt;_xlfn.XLOOKUP(A75,Rebate_Lookup[SKU CODE],Rebate_Lookup[MOQ_2])
),
1,
IF(
AND(
H75&gt;=_xlfn.XLOOKUP(A75,Rebate_Lookup[SKU CODE],Rebate_Lookup[MOQ_2]),
OR(
_xlfn.XLOOKUP(A75,Rebate_Lookup[SKU CODE],Rebate_Lookup[MOQ_3])=0,
H75&lt;_xlfn.XLOOKUP(A75,Rebate_Lookup[SKU CODE],Rebate_Lookup[MOQ_3])
)
),
2,
IF(
OR(
AND(
_xlfn.XLOOKUP(A75,Rebate_Lookup[SKU CODE],Rebate_Lookup[MOQ_4])=0,
H75&gt;=_xlfn.XLOOKUP(A75,Rebate_Lookup[SKU CODE],Rebate_Lookup[MOQ_3])
),
AND(
_xlfn.XLOOKUP(A75,Rebate_Lookup[SKU CODE],Rebate_Lookup[MOQ_4])&gt;0,
H75&gt;=_xlfn.XLOOKUP(A75,Rebate_Lookup[SKU CODE],Rebate_Lookup[MOQ_3]),
H75&lt;_xlfn.XLOOKUP(A75,Rebate_Lookup[SKU CODE],Rebate_Lookup[MOQ_4])
)
),
3,
IF(
AND(
_xlfn.XLOOKUP(A75,Rebate_Lookup[SKU CODE],Rebate_Lookup[MOQ_4])&gt;0,
H75&gt;=_xlfn.XLOOKUP(A75,Rebate_Lookup[SKU CODE],Rebate_Lookup[MOQ_4])
),
4,
1
)
)
)
)
)
)),
PRICING[Standard Use Rate (oz/M)]
),
2
))</f>
        <v>0.46</v>
      </c>
      <c r="U75" s="143">
        <f t="shared" si="31"/>
        <v>20.04</v>
      </c>
      <c r="V75" s="45" t="str">
        <f>IF(AND(TRIM(U75)&lt;&gt;"",TRIM(H75)&lt;&gt;""),ROUND(H75*INDEX(PRICING[Package Ounces],MATCH(A75,PRICING[SKU],0))/U75,2),"")</f>
        <v/>
      </c>
      <c r="W75" s="222">
        <f t="shared" si="32"/>
        <v>0</v>
      </c>
      <c r="X75" s="231">
        <f t="shared" si="33"/>
        <v>0</v>
      </c>
      <c r="Y75" s="98"/>
      <c r="Z75" s="98"/>
      <c r="AA75" s="98"/>
      <c r="AB75" s="98"/>
      <c r="AC75" s="98"/>
      <c r="AD75" s="98"/>
      <c r="AE75" s="98"/>
      <c r="AF75" s="98"/>
      <c r="AG75" s="98"/>
      <c r="AH75" s="98"/>
      <c r="AI75" s="98"/>
      <c r="AJ75" s="98"/>
      <c r="AK75" s="98"/>
      <c r="AL75" s="98"/>
      <c r="AM75" s="98"/>
      <c r="AN75" s="98"/>
      <c r="AO75" s="98"/>
      <c r="AP75" s="98"/>
      <c r="AQ75" s="98"/>
      <c r="AR75" s="98"/>
      <c r="AS75" s="98"/>
      <c r="AT75" s="98"/>
      <c r="AU75" s="98"/>
      <c r="AV75" s="98"/>
      <c r="AW75" s="98"/>
      <c r="AX75" s="98"/>
      <c r="AY75" s="98"/>
      <c r="AZ75" s="98"/>
      <c r="BA75" s="98"/>
      <c r="BB75" s="98"/>
      <c r="BC75" s="98"/>
      <c r="BD75" s="98"/>
      <c r="BE75" s="98"/>
    </row>
    <row r="76" spans="1:59" ht="18" customHeight="1" thickBot="1" x14ac:dyDescent="0.25">
      <c r="A76" s="174">
        <v>11008351</v>
      </c>
      <c r="B76" s="173" t="b">
        <f t="shared" si="25"/>
        <v>0</v>
      </c>
      <c r="D76" s="243" t="str" cm="1">
        <f t="array" ref="D76">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(PRICING[SKU]=$A76)*
            (
                ((PRICING[Rebate $]&lt;&gt;"")*(PRICING[Rebate $]&lt;&gt;0))
                +
                (
                    (
                        ISNUMBER(SEARCH("*Ronstar*FLO*",PRICING[Product]))+
                        ISNUMBER(SEARCH("Altus*",PRICING[Product]))+
                        ISNUMBER(SEARCH("Kontos*",PRICING[Product]))
                    )*
                    (PRICING[Min Qty]&lt;&gt;0)
                )
            )
        )
    ),
    ""
)</f>
        <v>$20.00 off on 1 unit</v>
      </c>
      <c r="E76" s="215" t="str">
        <f>_xlfn.XLOOKUP(A76, PRICING[SKU], PRICING[Product], "")</f>
        <v xml:space="preserve">Blindside® Herbicide </v>
      </c>
      <c r="F76" s="46" t="str">
        <f>_xlfn.XLOOKUP(A76, PRICING[SKU], PRICING[Size], "")</f>
        <v>0.5 lb</v>
      </c>
      <c r="G76" s="178" t="str">
        <f>IF(_xlfn.XLOOKUP(A76,PRICING[SKU],PRICING[Indication])="I","Insecticide",
 IF(_xlfn.XLOOKUP(A76,PRICING[SKU],PRICING[Indication])="H","Herbicide",
 IF(_xlfn.XLOOKUP(A76,PRICING[SKU],PRICING[Indication])="F","Fungicide",
 IF(_xlfn.XLOOKUP(A76,PRICING[SKU],PRICING[Indication])="PGR","PGR",""))))</f>
        <v>Herbicide</v>
      </c>
      <c r="H76" s="109"/>
      <c r="I76" s="192"/>
      <c r="J76" s="118">
        <f>INDEX(PRICING[NOW Price],MATCH(A76,PRICING[SKU],0))</f>
        <v>141.83000000000001</v>
      </c>
      <c r="K76" s="118" t="str">
        <f>IF(OR(H76="",O76=""),"",
IF(O76=1,INDEX(Rebate_Lookup[REB_MOQ_1],MATCH(A76,Rebate_Lookup[SKU CODE],0)),
IF(O76=2,INDEX(Rebate_Lookup[REB_MOQ_2],MATCH(A76,Rebate_Lookup[SKU CODE],0)),
IF(O76=3,INDEX(Rebate_Lookup[REB_MOQ_3],MATCH(A76,Rebate_Lookup[SKU CODE],0)),
IF(O76=4,INDEX(Rebate_Lookup[REB_MOQ_4],MATCH(A76,Rebate_Lookup[SKU CODE],0)),
"#err")))))</f>
        <v/>
      </c>
      <c r="L76" s="118" t="str">
        <f t="shared" si="26"/>
        <v/>
      </c>
      <c r="M76" s="119" t="str">
        <f t="shared" si="27"/>
        <v/>
      </c>
      <c r="N76" s="119" t="str">
        <f t="shared" si="28"/>
        <v/>
      </c>
      <c r="O76" s="193" t="str">
        <f>IF(H76="","",INDEX(Rebate_Lookup[Qualified Rebate Tier],MATCH(A76,Rebate_Lookup[SKU CODE],0)))</f>
        <v/>
      </c>
      <c r="P76" s="118" t="str">
        <f t="shared" si="29"/>
        <v/>
      </c>
      <c r="Q76" s="202" t="str">
        <f t="shared" si="30"/>
        <v/>
      </c>
      <c r="R76" s="183"/>
      <c r="S76" s="183"/>
      <c r="T76" s="229" cm="1">
        <f t="array" ref="T76">IF(OR(H76="",H76=0),
ROUND(_xlfn.XLOOKUP(1,(PRICING[SKU]=A76)*(PRICING[Set]=1),PRICING[Standard Use Rate (oz/M)]),2),ROUND(
_xlfn.XLOOKUP(
1,
(PRICING[SKU]=A76)*
(PRICING[Set]=IF(
_xlfn.XLOOKUP(A76,Rebate_Lookup[SKU CODE],Rebate_Lookup[MOQ_2])=0,
1,
IF(
AND(
_xlfn.XLOOKUP(A76,Rebate_Lookup[SKU CODE],Rebate_Lookup[MOQ_3])=0,
H76&gt;=_xlfn.XLOOKUP(A76,Rebate_Lookup[SKU CODE],Rebate_Lookup[MOQ_2])
),
2,
IF(
AND(
H76&gt;=_xlfn.XLOOKUP(A76,Rebate_Lookup[SKU CODE],Rebate_Lookup[MOQ_1]),
H76&lt;_xlfn.XLOOKUP(A76,Rebate_Lookup[SKU CODE],Rebate_Lookup[MOQ_2])
),
1,
IF(
AND(
H76&gt;=_xlfn.XLOOKUP(A76,Rebate_Lookup[SKU CODE],Rebate_Lookup[MOQ_2]),
OR(
_xlfn.XLOOKUP(A76,Rebate_Lookup[SKU CODE],Rebate_Lookup[MOQ_3])=0,
H76&lt;_xlfn.XLOOKUP(A76,Rebate_Lookup[SKU CODE],Rebate_Lookup[MOQ_3])
)
),
2,
IF(
OR(
AND(
_xlfn.XLOOKUP(A76,Rebate_Lookup[SKU CODE],Rebate_Lookup[MOQ_4])=0,
H76&gt;=_xlfn.XLOOKUP(A76,Rebate_Lookup[SKU CODE],Rebate_Lookup[MOQ_3])
),
AND(
_xlfn.XLOOKUP(A76,Rebate_Lookup[SKU CODE],Rebate_Lookup[MOQ_4])&gt;0,
H76&gt;=_xlfn.XLOOKUP(A76,Rebate_Lookup[SKU CODE],Rebate_Lookup[MOQ_3]),
H76&lt;_xlfn.XLOOKUP(A76,Rebate_Lookup[SKU CODE],Rebate_Lookup[MOQ_4])
)
),
3,
IF(
AND(
_xlfn.XLOOKUP(A76,Rebate_Lookup[SKU CODE],Rebate_Lookup[MOQ_4])&gt;0,
H76&gt;=_xlfn.XLOOKUP(A76,Rebate_Lookup[SKU CODE],Rebate_Lookup[MOQ_4])
),
4,
1
)
)
)
)
)
)),
PRICING[Standard Use Rate (oz/M)]
),
2
))</f>
        <v>0.15</v>
      </c>
      <c r="U76" s="143">
        <f t="shared" si="31"/>
        <v>6.53</v>
      </c>
      <c r="V76" s="45" t="str">
        <f>IF(AND(TRIM(U76)&lt;&gt;"",TRIM(H76)&lt;&gt;""),ROUND(H76*INDEX(PRICING[Package Ounces],MATCH(A76,PRICING[SKU],0))/U76,2),"")</f>
        <v/>
      </c>
      <c r="W76" s="222">
        <f t="shared" si="32"/>
        <v>0</v>
      </c>
      <c r="X76" s="231">
        <f t="shared" si="33"/>
        <v>0</v>
      </c>
      <c r="Y76" s="98"/>
      <c r="Z76" s="98"/>
      <c r="AA76" s="98"/>
      <c r="AB76" s="98"/>
      <c r="AC76" s="98"/>
      <c r="AD76" s="98"/>
      <c r="AE76" s="98"/>
      <c r="AF76" s="98"/>
      <c r="AG76" s="98"/>
      <c r="AH76" s="98"/>
      <c r="AI76" s="98"/>
      <c r="AJ76" s="98"/>
      <c r="AK76" s="98"/>
      <c r="AL76" s="98"/>
      <c r="AM76" s="98"/>
      <c r="AN76" s="98"/>
      <c r="AO76" s="98"/>
      <c r="AP76" s="98"/>
      <c r="AQ76" s="98"/>
      <c r="AR76" s="98"/>
      <c r="AS76" s="98"/>
      <c r="AT76" s="98"/>
      <c r="AU76" s="98"/>
      <c r="AV76" s="98"/>
      <c r="AW76" s="98"/>
      <c r="AX76" s="98"/>
      <c r="AY76" s="98"/>
      <c r="AZ76" s="98"/>
      <c r="BA76" s="98"/>
      <c r="BB76" s="98"/>
      <c r="BC76" s="98"/>
      <c r="BD76" s="98"/>
      <c r="BE76" s="98"/>
    </row>
    <row r="77" spans="1:59" ht="18" customHeight="1" thickBot="1" x14ac:dyDescent="0.25">
      <c r="A77" s="175">
        <v>4251007</v>
      </c>
      <c r="B77" s="173" t="b">
        <f t="shared" si="25"/>
        <v>0</v>
      </c>
      <c r="D77" s="243" t="str" cm="1">
        <f t="array" ref="D77">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(PRICING[SKU]=$A77)*
            (
                ((PRICING[Rebate $]&lt;&gt;"")*(PRICING[Rebate $]&lt;&gt;0))
                +
                (
                    (
                        ISNUMBER(SEARCH("*Ronstar*FLO*",PRICING[Product]))+
                        ISNUMBER(SEARCH("Altus*",PRICING[Product]))+
                        ISNUMBER(SEARCH("Kontos*",PRICING[Product]))
                    )*
                    (PRICING[Min Qty]&lt;&gt;0)
                )
            )
        )
    ),
    ""
)</f>
        <v/>
      </c>
      <c r="E77" s="215" t="str">
        <f>_xlfn.XLOOKUP(A77, PRICING[SKU], PRICING[Product], "")</f>
        <v>Chipco® 26019 FLO</v>
      </c>
      <c r="F77" s="46" t="str">
        <f>_xlfn.XLOOKUP(A77, PRICING[SKU], PRICING[Size], "")</f>
        <v>2.5 gal</v>
      </c>
      <c r="G77" s="178" t="str">
        <f>IF(_xlfn.XLOOKUP(A77,PRICING[SKU],PRICING[Indication])="I","Insecticide",
 IF(_xlfn.XLOOKUP(A77,PRICING[SKU],PRICING[Indication])="H","Herbicide",
 IF(_xlfn.XLOOKUP(A77,PRICING[SKU],PRICING[Indication])="F","Fungicide",
 IF(_xlfn.XLOOKUP(A77,PRICING[SKU],PRICING[Indication])="PGR","PGR",""))))</f>
        <v>Fungicide</v>
      </c>
      <c r="H77" s="109"/>
      <c r="I77" s="192"/>
      <c r="J77" s="118">
        <f>INDEX(PRICING[NOW Price],MATCH(A77,PRICING[SKU],0))</f>
        <v>146.69999999999999</v>
      </c>
      <c r="K77" s="118" t="str">
        <f>IF(OR(H77="",O77=""),"",
IF(O77=1,INDEX(Rebate_Lookup[REB_MOQ_1],MATCH(A77,Rebate_Lookup[SKU CODE],0)),
IF(O77=2,INDEX(Rebate_Lookup[REB_MOQ_2],MATCH(A77,Rebate_Lookup[SKU CODE],0)),
IF(O77=3,INDEX(Rebate_Lookup[REB_MOQ_3],MATCH(A77,Rebate_Lookup[SKU CODE],0)),
IF(O77=4,INDEX(Rebate_Lookup[REB_MOQ_4],MATCH(A77,Rebate_Lookup[SKU CODE],0)),
"#err")))))</f>
        <v/>
      </c>
      <c r="L77" s="118" t="str">
        <f t="shared" si="26"/>
        <v/>
      </c>
      <c r="M77" s="119" t="str">
        <f t="shared" si="27"/>
        <v/>
      </c>
      <c r="N77" s="119" t="str">
        <f t="shared" si="28"/>
        <v/>
      </c>
      <c r="O77" s="193" t="str">
        <f>IF(H77="","",INDEX(Rebate_Lookup[Qualified Rebate Tier],MATCH(A77,Rebate_Lookup[SKU CODE],0)))</f>
        <v/>
      </c>
      <c r="P77" s="118" t="str">
        <f t="shared" si="29"/>
        <v/>
      </c>
      <c r="Q77" s="202" t="str">
        <f t="shared" si="30"/>
        <v/>
      </c>
      <c r="R77" s="183"/>
      <c r="S77" s="183"/>
      <c r="T77" s="229" cm="1">
        <f t="array" ref="T77">IF(OR(H77="",H77=0),
ROUND(_xlfn.XLOOKUP(1,(PRICING[SKU]=A77)*(PRICING[Set]=1),PRICING[Standard Use Rate (oz/M)]),2),ROUND(
_xlfn.XLOOKUP(
1,
(PRICING[SKU]=A77)*
(PRICING[Set]=IF(
_xlfn.XLOOKUP(A77,Rebate_Lookup[SKU CODE],Rebate_Lookup[MOQ_2])=0,
1,
IF(
AND(
_xlfn.XLOOKUP(A77,Rebate_Lookup[SKU CODE],Rebate_Lookup[MOQ_3])=0,
H77&gt;=_xlfn.XLOOKUP(A77,Rebate_Lookup[SKU CODE],Rebate_Lookup[MOQ_2])
),
2,
IF(
AND(
H77&gt;=_xlfn.XLOOKUP(A77,Rebate_Lookup[SKU CODE],Rebate_Lookup[MOQ_1]),
H77&lt;_xlfn.XLOOKUP(A77,Rebate_Lookup[SKU CODE],Rebate_Lookup[MOQ_2])
),
1,
IF(
AND(
H77&gt;=_xlfn.XLOOKUP(A77,Rebate_Lookup[SKU CODE],Rebate_Lookup[MOQ_2]),
OR(
_xlfn.XLOOKUP(A77,Rebate_Lookup[SKU CODE],Rebate_Lookup[MOQ_3])=0,
H77&lt;_xlfn.XLOOKUP(A77,Rebate_Lookup[SKU CODE],Rebate_Lookup[MOQ_3])
)
),
2,
IF(
OR(
AND(
_xlfn.XLOOKUP(A77,Rebate_Lookup[SKU CODE],Rebate_Lookup[MOQ_4])=0,
H77&gt;=_xlfn.XLOOKUP(A77,Rebate_Lookup[SKU CODE],Rebate_Lookup[MOQ_3])
),
AND(
_xlfn.XLOOKUP(A77,Rebate_Lookup[SKU CODE],Rebate_Lookup[MOQ_4])&gt;0,
H77&gt;=_xlfn.XLOOKUP(A77,Rebate_Lookup[SKU CODE],Rebate_Lookup[MOQ_3]),
H77&lt;_xlfn.XLOOKUP(A77,Rebate_Lookup[SKU CODE],Rebate_Lookup[MOQ_4])
)
),
3,
IF(
AND(
_xlfn.XLOOKUP(A77,Rebate_Lookup[SKU CODE],Rebate_Lookup[MOQ_4])&gt;0,
H77&gt;=_xlfn.XLOOKUP(A77,Rebate_Lookup[SKU CODE],Rebate_Lookup[MOQ_4])
),
4,
1
)
)
)
)
)
)),
PRICING[Standard Use Rate (oz/M)]
),
2
))</f>
        <v>4</v>
      </c>
      <c r="U77" s="143">
        <f t="shared" si="31"/>
        <v>174.24</v>
      </c>
      <c r="V77" s="45" t="str">
        <f>IF(AND(TRIM(U77)&lt;&gt;"",TRIM(H77)&lt;&gt;""),ROUND(H77*INDEX(PRICING[Package Ounces],MATCH(A77,PRICING[SKU],0))/U77,2),"")</f>
        <v/>
      </c>
      <c r="W77" s="222">
        <f t="shared" si="32"/>
        <v>0</v>
      </c>
      <c r="X77" s="231">
        <f t="shared" si="33"/>
        <v>0</v>
      </c>
      <c r="Y77" s="98"/>
      <c r="Z77" s="98"/>
      <c r="AA77" s="98"/>
      <c r="AB77" s="98"/>
      <c r="AC77" s="98"/>
      <c r="AD77" s="98"/>
      <c r="AE77" s="98"/>
      <c r="AF77" s="98"/>
      <c r="AG77" s="98"/>
      <c r="AH77" s="98"/>
      <c r="AI77" s="98"/>
      <c r="AJ77" s="98"/>
      <c r="AK77" s="98"/>
      <c r="AL77" s="98"/>
      <c r="AM77" s="98"/>
      <c r="AN77" s="98"/>
      <c r="AO77" s="98"/>
      <c r="AP77" s="98"/>
      <c r="AQ77" s="98"/>
      <c r="AR77" s="98"/>
      <c r="AS77" s="98"/>
      <c r="AT77" s="98"/>
      <c r="AU77" s="98"/>
      <c r="AV77" s="98"/>
      <c r="AW77" s="98"/>
      <c r="AX77" s="98"/>
      <c r="AY77" s="98"/>
      <c r="AZ77" s="98"/>
      <c r="BA77" s="98"/>
      <c r="BB77" s="98"/>
      <c r="BC77" s="98"/>
      <c r="BD77" s="98"/>
      <c r="BE77" s="98"/>
    </row>
    <row r="78" spans="1:59" ht="18" customHeight="1" thickBot="1" x14ac:dyDescent="0.25">
      <c r="A78" s="175" t="s">
        <v>90</v>
      </c>
      <c r="B78" s="173" t="b">
        <f t="shared" si="25"/>
        <v>0</v>
      </c>
      <c r="D78" s="243" t="str" cm="1">
        <f t="array" ref="D78">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(PRICING[SKU]=$A78)*
            (
                ((PRICING[Rebate $]&lt;&gt;"")*(PRICING[Rebate $]&lt;&gt;0))
                +
                (
                    (
                        ISNUMBER(SEARCH("*Ronstar*FLO*",PRICING[Product]))+
                        ISNUMBER(SEARCH("Altus*",PRICING[Product]))+
                        ISNUMBER(SEARCH("Kontos*",PRICING[Product]))
                    )*
                    (PRICING[Min Qty]&lt;&gt;0)
                )
            )
        )
    ),
    ""
)</f>
        <v/>
      </c>
      <c r="E78" s="215" t="str">
        <f>_xlfn.XLOOKUP(A78, PRICING[SKU], PRICING[Product], "")</f>
        <v>Chipco® Choice</v>
      </c>
      <c r="F78" s="46" t="str">
        <f>_xlfn.XLOOKUP(A78, PRICING[SKU], PRICING[Size], "")</f>
        <v>50 lb</v>
      </c>
      <c r="G78" s="178" t="str">
        <f>IF(_xlfn.XLOOKUP(A78,PRICING[SKU],PRICING[Indication])="I","Insecticide",
 IF(_xlfn.XLOOKUP(A78,PRICING[SKU],PRICING[Indication])="H","Herbicide",
 IF(_xlfn.XLOOKUP(A78,PRICING[SKU],PRICING[Indication])="F","Fungicide",
 IF(_xlfn.XLOOKUP(A78,PRICING[SKU],PRICING[Indication])="PGR","PGR",""))))</f>
        <v>Insecticide</v>
      </c>
      <c r="H78" s="109"/>
      <c r="I78" s="192"/>
      <c r="J78" s="118">
        <f>INDEX(PRICING[NOW Price],MATCH(A78,PRICING[SKU],0))</f>
        <v>0</v>
      </c>
      <c r="K78" s="118" t="str">
        <f>IF(OR(H78="",O78=""),"",
IF(O78=1,INDEX(Rebate_Lookup[REB_MOQ_1],MATCH(A78,Rebate_Lookup[SKU CODE],0)),
IF(O78=2,INDEX(Rebate_Lookup[REB_MOQ_2],MATCH(A78,Rebate_Lookup[SKU CODE],0)),
IF(O78=3,INDEX(Rebate_Lookup[REB_MOQ_3],MATCH(A78,Rebate_Lookup[SKU CODE],0)),
IF(O78=4,INDEX(Rebate_Lookup[REB_MOQ_4],MATCH(A78,Rebate_Lookup[SKU CODE],0)),
"#err")))))</f>
        <v/>
      </c>
      <c r="L78" s="118" t="str">
        <f t="shared" si="26"/>
        <v/>
      </c>
      <c r="M78" s="119" t="str">
        <f t="shared" si="27"/>
        <v/>
      </c>
      <c r="N78" s="119" t="str">
        <f t="shared" si="28"/>
        <v/>
      </c>
      <c r="O78" s="193" t="str">
        <f>IF(H78="","",INDEX(Rebate_Lookup[Qualified Rebate Tier],MATCH(A78,Rebate_Lookup[SKU CODE],0)))</f>
        <v/>
      </c>
      <c r="P78" s="118" t="str">
        <f>IF(
    K78="",
    IF(OR(H78=0,H78=""),"",L78),
    IF(OR(H78=0,H78=""),"",ROUND((I78-K78)*H78,2))
)</f>
        <v/>
      </c>
      <c r="Q78" s="202" t="str">
        <f t="shared" si="30"/>
        <v/>
      </c>
      <c r="R78" s="183"/>
      <c r="S78" s="183"/>
      <c r="T78" s="229" cm="1">
        <f t="array" ref="T78">IF(OR(H78="",H78=0),
ROUND(_xlfn.XLOOKUP(1,(PRICING[SKU]=A78)*(PRICING[Set]=1),PRICING[Standard Use Rate (oz/M)]),2),ROUND(
_xlfn.XLOOKUP(
1,
(PRICING[SKU]=A78)*
(PRICING[Set]=IF(
_xlfn.XLOOKUP(A78,Rebate_Lookup[SKU CODE],Rebate_Lookup[MOQ_2])=0,
1,
IF(
AND(
_xlfn.XLOOKUP(A78,Rebate_Lookup[SKU CODE],Rebate_Lookup[MOQ_3])=0,
H78&gt;=_xlfn.XLOOKUP(A78,Rebate_Lookup[SKU CODE],Rebate_Lookup[MOQ_2])
),
2,
IF(
AND(
H78&gt;=_xlfn.XLOOKUP(A78,Rebate_Lookup[SKU CODE],Rebate_Lookup[MOQ_1]),
H78&lt;_xlfn.XLOOKUP(A78,Rebate_Lookup[SKU CODE],Rebate_Lookup[MOQ_2])
),
1,
IF(
AND(
H78&gt;=_xlfn.XLOOKUP(A78,Rebate_Lookup[SKU CODE],Rebate_Lookup[MOQ_2]),
OR(
_xlfn.XLOOKUP(A78,Rebate_Lookup[SKU CODE],Rebate_Lookup[MOQ_3])=0,
H78&lt;_xlfn.XLOOKUP(A78,Rebate_Lookup[SKU CODE],Rebate_Lookup[MOQ_3])
)
),
2,
IF(
OR(
AND(
_xlfn.XLOOKUP(A78,Rebate_Lookup[SKU CODE],Rebate_Lookup[MOQ_4])=0,
H78&gt;=_xlfn.XLOOKUP(A78,Rebate_Lookup[SKU CODE],Rebate_Lookup[MOQ_3])
),
AND(
_xlfn.XLOOKUP(A78,Rebate_Lookup[SKU CODE],Rebate_Lookup[MOQ_4])&gt;0,
H78&gt;=_xlfn.XLOOKUP(A78,Rebate_Lookup[SKU CODE],Rebate_Lookup[MOQ_3]),
H78&lt;_xlfn.XLOOKUP(A78,Rebate_Lookup[SKU CODE],Rebate_Lookup[MOQ_4])
)
),
3,
IF(
AND(
_xlfn.XLOOKUP(A78,Rebate_Lookup[SKU CODE],Rebate_Lookup[MOQ_4])&gt;0,
H78&gt;=_xlfn.XLOOKUP(A78,Rebate_Lookup[SKU CODE],Rebate_Lookup[MOQ_4])
),
4,
1
)
)
)
)
)
)),
PRICING[Standard Use Rate (oz/M)]
),
2
))</f>
        <v>0</v>
      </c>
      <c r="U78" s="143">
        <f t="shared" si="31"/>
        <v>0</v>
      </c>
      <c r="V78" s="45" t="str">
        <f>IF(AND(TRIM(U78)&lt;&gt;"",TRIM(H78)&lt;&gt;""),ROUND(H78*INDEX(PRICING[Package Ounces],MATCH(A78,PRICING[SKU],0))/U78,2),"")</f>
        <v/>
      </c>
      <c r="W78" s="222">
        <f t="shared" si="32"/>
        <v>0</v>
      </c>
      <c r="X78" s="231">
        <f t="shared" si="33"/>
        <v>0</v>
      </c>
      <c r="Y78" s="98"/>
      <c r="Z78" s="98"/>
      <c r="AA78" s="98"/>
      <c r="AB78" s="98"/>
      <c r="AC78" s="98"/>
      <c r="AD78" s="98"/>
      <c r="AE78" s="98"/>
      <c r="AF78" s="98"/>
      <c r="AG78" s="98"/>
      <c r="AH78" s="98"/>
      <c r="AI78" s="98"/>
      <c r="AJ78" s="98"/>
      <c r="AK78" s="98"/>
      <c r="AL78" s="98"/>
      <c r="AM78" s="98"/>
      <c r="AN78" s="98"/>
      <c r="AO78" s="98"/>
      <c r="AP78" s="98"/>
      <c r="AQ78" s="98"/>
      <c r="AR78" s="98"/>
      <c r="AS78" s="98"/>
      <c r="AT78" s="98"/>
      <c r="AU78" s="98"/>
      <c r="AV78" s="98"/>
      <c r="AW78" s="98"/>
      <c r="AX78" s="98"/>
      <c r="AY78" s="98"/>
      <c r="AZ78" s="98"/>
      <c r="BA78" s="98"/>
      <c r="BB78" s="98"/>
      <c r="BC78" s="98"/>
      <c r="BD78" s="98"/>
      <c r="BE78" s="98"/>
    </row>
    <row r="79" spans="1:59" ht="18" customHeight="1" thickBot="1" x14ac:dyDescent="0.25">
      <c r="A79" s="175">
        <v>11008357</v>
      </c>
      <c r="B79" s="173" t="b">
        <f t="shared" si="25"/>
        <v>0</v>
      </c>
      <c r="D79" s="243" t="str" cm="1">
        <f t="array" ref="D79">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(PRICING[SKU]=$A79)*
            (
                ((PRICING[Rebate $]&lt;&gt;"")*(PRICING[Rebate $]&lt;&gt;0))
                +
                (
                    (
                        ISNUMBER(SEARCH("*Ronstar*FLO*",PRICING[Product]))+
                        ISNUMBER(SEARCH("Altus*",PRICING[Product]))+
                        ISNUMBER(SEARCH("Kontos*",PRICING[Product]))
                    )*
                    (PRICING[Min Qty]&lt;&gt;0)
                )
            )
        )
    ),
    ""
)</f>
        <v>$18.00 off on 1 unit</v>
      </c>
      <c r="E79" s="215" t="str">
        <f>_xlfn.XLOOKUP(A79, PRICING[SKU], PRICING[Product], "")</f>
        <v>Dismiss® CA Herbicide</v>
      </c>
      <c r="F79" s="46" t="str">
        <f>_xlfn.XLOOKUP(A79, PRICING[SKU], PRICING[Size], "")</f>
        <v>6 oz</v>
      </c>
      <c r="G79" s="178" t="str">
        <f>IF(_xlfn.XLOOKUP(A79,PRICING[SKU],PRICING[Indication])="I","Insecticide",
 IF(_xlfn.XLOOKUP(A79,PRICING[SKU],PRICING[Indication])="H","Herbicide",
 IF(_xlfn.XLOOKUP(A79,PRICING[SKU],PRICING[Indication])="F","Fungicide",
 IF(_xlfn.XLOOKUP(A79,PRICING[SKU],PRICING[Indication])="PGR","PGR",""))))</f>
        <v>Herbicide</v>
      </c>
      <c r="H79" s="109"/>
      <c r="I79" s="192"/>
      <c r="J79" s="118">
        <f>INDEX(PRICING[NOW Price],MATCH(A79,PRICING[SKU],0))</f>
        <v>61.32</v>
      </c>
      <c r="K79" s="118" t="str">
        <f>IF(OR(H79="",O79=""),"",
IF(O79=1,INDEX(Rebate_Lookup[REB_MOQ_1],MATCH(A79,Rebate_Lookup[SKU CODE],0)),
IF(O79=2,INDEX(Rebate_Lookup[REB_MOQ_2],MATCH(A79,Rebate_Lookup[SKU CODE],0)),
IF(O79=3,INDEX(Rebate_Lookup[REB_MOQ_3],MATCH(A79,Rebate_Lookup[SKU CODE],0)),
IF(O79=4,INDEX(Rebate_Lookup[REB_MOQ_4],MATCH(A79,Rebate_Lookup[SKU CODE],0)),
"#err")))))</f>
        <v/>
      </c>
      <c r="L79" s="118" t="str">
        <f t="shared" si="26"/>
        <v/>
      </c>
      <c r="M79" s="119" t="str">
        <f t="shared" si="27"/>
        <v/>
      </c>
      <c r="N79" s="119" t="str">
        <f t="shared" si="28"/>
        <v/>
      </c>
      <c r="O79" s="193" t="str">
        <f>IF(H79="","",INDEX(Rebate_Lookup[Qualified Rebate Tier],MATCH(A79,Rebate_Lookup[SKU CODE],0)))</f>
        <v/>
      </c>
      <c r="P79" s="118" t="str">
        <f t="shared" si="29"/>
        <v/>
      </c>
      <c r="Q79" s="202" t="str">
        <f t="shared" si="30"/>
        <v/>
      </c>
      <c r="R79" s="183"/>
      <c r="S79" s="183"/>
      <c r="T79" s="229" cm="1">
        <f t="array" ref="T79">IF(OR(H79="",H79=0),
ROUND(_xlfn.XLOOKUP(1,(PRICING[SKU]=A79)*(PRICING[Set]=1),PRICING[Standard Use Rate (oz/M)]),2),ROUND(
_xlfn.XLOOKUP(
1,
(PRICING[SKU]=A79)*
(PRICING[Set]=IF(
_xlfn.XLOOKUP(A79,Rebate_Lookup[SKU CODE],Rebate_Lookup[MOQ_2])=0,
1,
IF(
AND(
_xlfn.XLOOKUP(A79,Rebate_Lookup[SKU CODE],Rebate_Lookup[MOQ_3])=0,
H79&gt;=_xlfn.XLOOKUP(A79,Rebate_Lookup[SKU CODE],Rebate_Lookup[MOQ_2])
),
2,
IF(
AND(
H79&gt;=_xlfn.XLOOKUP(A79,Rebate_Lookup[SKU CODE],Rebate_Lookup[MOQ_1]),
H79&lt;_xlfn.XLOOKUP(A79,Rebate_Lookup[SKU CODE],Rebate_Lookup[MOQ_2])
),
1,
IF(
AND(
H79&gt;=_xlfn.XLOOKUP(A79,Rebate_Lookup[SKU CODE],Rebate_Lookup[MOQ_2]),
OR(
_xlfn.XLOOKUP(A79,Rebate_Lookup[SKU CODE],Rebate_Lookup[MOQ_3])=0,
H79&lt;_xlfn.XLOOKUP(A79,Rebate_Lookup[SKU CODE],Rebate_Lookup[MOQ_3])
)
),
2,
IF(
OR(
AND(
_xlfn.XLOOKUP(A79,Rebate_Lookup[SKU CODE],Rebate_Lookup[MOQ_4])=0,
H79&gt;=_xlfn.XLOOKUP(A79,Rebate_Lookup[SKU CODE],Rebate_Lookup[MOQ_3])
),
AND(
_xlfn.XLOOKUP(A79,Rebate_Lookup[SKU CODE],Rebate_Lookup[MOQ_4])&gt;0,
H79&gt;=_xlfn.XLOOKUP(A79,Rebate_Lookup[SKU CODE],Rebate_Lookup[MOQ_3]),
H79&lt;_xlfn.XLOOKUP(A79,Rebate_Lookup[SKU CODE],Rebate_Lookup[MOQ_4])
)
),
3,
IF(
AND(
_xlfn.XLOOKUP(A79,Rebate_Lookup[SKU CODE],Rebate_Lookup[MOQ_4])&gt;0,
H79&gt;=_xlfn.XLOOKUP(A79,Rebate_Lookup[SKU CODE],Rebate_Lookup[MOQ_4])
),
4,
1
)
)
)
)
)
)),
PRICING[Standard Use Rate (oz/M)]
),
2
))</f>
        <v>0</v>
      </c>
      <c r="U79" s="143">
        <f t="shared" si="31"/>
        <v>0</v>
      </c>
      <c r="V79" s="45" t="str">
        <f>IF(AND(TRIM(U79)&lt;&gt;"",TRIM(H79)&lt;&gt;""),ROUND(H79*INDEX(PRICING[Package Ounces],MATCH(A79,PRICING[SKU],0))/U79,2),"")</f>
        <v/>
      </c>
      <c r="W79" s="222">
        <f t="shared" si="32"/>
        <v>0</v>
      </c>
      <c r="X79" s="231">
        <f t="shared" si="33"/>
        <v>0</v>
      </c>
      <c r="Y79" s="98"/>
      <c r="Z79" s="98"/>
      <c r="AA79" s="98"/>
      <c r="AB79" s="98"/>
      <c r="AC79" s="98"/>
      <c r="AD79" s="98"/>
      <c r="AE79" s="98"/>
      <c r="AF79" s="98"/>
      <c r="AG79" s="98"/>
      <c r="AH79" s="98"/>
      <c r="AI79" s="98"/>
      <c r="AJ79" s="98"/>
      <c r="AK79" s="98"/>
      <c r="AL79" s="98"/>
      <c r="AM79" s="98"/>
      <c r="AN79" s="98"/>
      <c r="AO79" s="98"/>
      <c r="AP79" s="98"/>
      <c r="AQ79" s="98"/>
      <c r="AR79" s="98"/>
      <c r="AS79" s="98"/>
      <c r="AT79" s="98"/>
      <c r="AU79" s="98"/>
      <c r="AV79" s="98"/>
      <c r="AW79" s="98"/>
      <c r="AX79" s="98"/>
      <c r="AY79" s="98"/>
      <c r="AZ79" s="98"/>
      <c r="BA79" s="98"/>
      <c r="BB79" s="98"/>
      <c r="BC79" s="98"/>
      <c r="BD79" s="98"/>
      <c r="BE79" s="98"/>
    </row>
    <row r="80" spans="1:59" ht="18" customHeight="1" thickBot="1" x14ac:dyDescent="0.25">
      <c r="A80" s="174">
        <v>11008474</v>
      </c>
      <c r="B80" s="173" t="b">
        <f t="shared" si="25"/>
        <v>0</v>
      </c>
      <c r="D80" s="243" t="str" cm="1">
        <f t="array" ref="D80">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(PRICING[SKU]=$A80)*
            (
                ((PRICING[Rebate $]&lt;&gt;"")*(PRICING[Rebate $]&lt;&gt;0))
                +
                (
                    (
                        ISNUMBER(SEARCH("*Ronstar*FLO*",PRICING[Product]))+
                        ISNUMBER(SEARCH("Altus*",PRICING[Product]))+
                        ISNUMBER(SEARCH("Kontos*",PRICING[Product]))
                    )*
                    (PRICING[Min Qty]&lt;&gt;0)
                )
            )
        )
    ),
    ""
)</f>
        <v>$25.00 off on 1 unit</v>
      </c>
      <c r="E80" s="215" t="str">
        <f>_xlfn.XLOOKUP(A80, PRICING[SKU], PRICING[Product], "")</f>
        <v>Dismiss® South Herbicide</v>
      </c>
      <c r="F80" s="46" t="str">
        <f>_xlfn.XLOOKUP(A80, PRICING[SKU], PRICING[Size], "")</f>
        <v xml:space="preserve">1 pint </v>
      </c>
      <c r="G80" s="178" t="str">
        <f>IF(_xlfn.XLOOKUP(A80,PRICING[SKU],PRICING[Indication])="I","Insecticide",
 IF(_xlfn.XLOOKUP(A80,PRICING[SKU],PRICING[Indication])="H","Herbicide",
 IF(_xlfn.XLOOKUP(A80,PRICING[SKU],PRICING[Indication])="F","Fungicide",
 IF(_xlfn.XLOOKUP(A80,PRICING[SKU],PRICING[Indication])="PGR","PGR",""))))</f>
        <v>Herbicide</v>
      </c>
      <c r="H80" s="109"/>
      <c r="I80" s="192"/>
      <c r="J80" s="118">
        <f>INDEX(PRICING[NOW Price],MATCH(A80,PRICING[SKU],0))</f>
        <v>158.66</v>
      </c>
      <c r="K80" s="118" t="str">
        <f>IF(OR(H80="",O80=""),"",
IF(O80=1,INDEX(Rebate_Lookup[REB_MOQ_1],MATCH(A80,Rebate_Lookup[SKU CODE],0)),
IF(O80=2,INDEX(Rebate_Lookup[REB_MOQ_2],MATCH(A80,Rebate_Lookup[SKU CODE],0)),
IF(O80=3,INDEX(Rebate_Lookup[REB_MOQ_3],MATCH(A80,Rebate_Lookup[SKU CODE],0)),
IF(O80=4,INDEX(Rebate_Lookup[REB_MOQ_4],MATCH(A80,Rebate_Lookup[SKU CODE],0)),
"#err")))))</f>
        <v/>
      </c>
      <c r="L80" s="118" t="str">
        <f t="shared" si="26"/>
        <v/>
      </c>
      <c r="M80" s="119" t="str">
        <f t="shared" si="27"/>
        <v/>
      </c>
      <c r="N80" s="119" t="str">
        <f t="shared" si="28"/>
        <v/>
      </c>
      <c r="O80" s="193" t="str">
        <f>IF(H80="","",INDEX(Rebate_Lookup[Qualified Rebate Tier],MATCH(A80,Rebate_Lookup[SKU CODE],0)))</f>
        <v/>
      </c>
      <c r="P80" s="118" t="str">
        <f t="shared" si="29"/>
        <v/>
      </c>
      <c r="Q80" s="202" t="str">
        <f t="shared" si="30"/>
        <v/>
      </c>
      <c r="R80" s="183"/>
      <c r="S80" s="183"/>
      <c r="T80" s="229" cm="1">
        <f t="array" ref="T80">IF(OR(H80="",H80=0),
ROUND(_xlfn.XLOOKUP(1,(PRICING[SKU]=A80)*(PRICING[Set]=1),PRICING[Standard Use Rate (oz/M)]),2),ROUND(
_xlfn.XLOOKUP(
1,
(PRICING[SKU]=A80)*
(PRICING[Set]=IF(
_xlfn.XLOOKUP(A80,Rebate_Lookup[SKU CODE],Rebate_Lookup[MOQ_2])=0,
1,
IF(
AND(
_xlfn.XLOOKUP(A80,Rebate_Lookup[SKU CODE],Rebate_Lookup[MOQ_3])=0,
H80&gt;=_xlfn.XLOOKUP(A80,Rebate_Lookup[SKU CODE],Rebate_Lookup[MOQ_2])
),
2,
IF(
AND(
H80&gt;=_xlfn.XLOOKUP(A80,Rebate_Lookup[SKU CODE],Rebate_Lookup[MOQ_1]),
H80&lt;_xlfn.XLOOKUP(A80,Rebate_Lookup[SKU CODE],Rebate_Lookup[MOQ_2])
),
1,
IF(
AND(
H80&gt;=_xlfn.XLOOKUP(A80,Rebate_Lookup[SKU CODE],Rebate_Lookup[MOQ_2]),
OR(
_xlfn.XLOOKUP(A80,Rebate_Lookup[SKU CODE],Rebate_Lookup[MOQ_3])=0,
H80&lt;_xlfn.XLOOKUP(A80,Rebate_Lookup[SKU CODE],Rebate_Lookup[MOQ_3])
)
),
2,
IF(
OR(
AND(
_xlfn.XLOOKUP(A80,Rebate_Lookup[SKU CODE],Rebate_Lookup[MOQ_4])=0,
H80&gt;=_xlfn.XLOOKUP(A80,Rebate_Lookup[SKU CODE],Rebate_Lookup[MOQ_3])
),
AND(
_xlfn.XLOOKUP(A80,Rebate_Lookup[SKU CODE],Rebate_Lookup[MOQ_4])&gt;0,
H80&gt;=_xlfn.XLOOKUP(A80,Rebate_Lookup[SKU CODE],Rebate_Lookup[MOQ_3]),
H80&lt;_xlfn.XLOOKUP(A80,Rebate_Lookup[SKU CODE],Rebate_Lookup[MOQ_4])
)
),
3,
IF(
AND(
_xlfn.XLOOKUP(A80,Rebate_Lookup[SKU CODE],Rebate_Lookup[MOQ_4])&gt;0,
H80&gt;=_xlfn.XLOOKUP(A80,Rebate_Lookup[SKU CODE],Rebate_Lookup[MOQ_4])
),
4,
1
)
)
)
)
)
)),
PRICING[Standard Use Rate (oz/M)]
),
2
))</f>
        <v>0.22</v>
      </c>
      <c r="U80" s="143">
        <f t="shared" si="31"/>
        <v>9.58</v>
      </c>
      <c r="V80" s="45" t="str">
        <f>IF(AND(TRIM(U80)&lt;&gt;"",TRIM(H80)&lt;&gt;""),ROUND(H80*INDEX(PRICING[Package Ounces],MATCH(A80,PRICING[SKU],0))/U80,2),"")</f>
        <v/>
      </c>
      <c r="W80" s="222">
        <f t="shared" si="32"/>
        <v>0</v>
      </c>
      <c r="X80" s="231">
        <f t="shared" si="33"/>
        <v>0</v>
      </c>
      <c r="Y80" s="98"/>
      <c r="Z80" s="98"/>
      <c r="AA80" s="98"/>
      <c r="AB80" s="98"/>
      <c r="AC80" s="98"/>
      <c r="AD80" s="98"/>
      <c r="AE80" s="98"/>
      <c r="AF80" s="98"/>
      <c r="AG80" s="98"/>
      <c r="AH80" s="98"/>
      <c r="AI80" s="98"/>
      <c r="AJ80" s="98"/>
      <c r="AK80" s="98"/>
      <c r="AL80" s="98"/>
      <c r="AM80" s="98"/>
      <c r="AN80" s="98"/>
      <c r="AO80" s="98"/>
      <c r="AP80" s="98"/>
      <c r="AQ80" s="98"/>
      <c r="AR80" s="98"/>
      <c r="AS80" s="98"/>
      <c r="AT80" s="98"/>
      <c r="AU80" s="98"/>
      <c r="AV80" s="98"/>
      <c r="AW80" s="98"/>
      <c r="AX80" s="98"/>
      <c r="AY80" s="98"/>
      <c r="AZ80" s="98"/>
      <c r="BA80" s="98"/>
      <c r="BB80" s="98"/>
      <c r="BC80" s="98"/>
      <c r="BD80" s="98"/>
      <c r="BE80" s="98"/>
    </row>
    <row r="81" spans="1:57" ht="18" customHeight="1" thickBot="1" x14ac:dyDescent="0.25">
      <c r="A81" s="175">
        <v>11008475</v>
      </c>
      <c r="B81" s="173" t="b">
        <f t="shared" si="25"/>
        <v>0</v>
      </c>
      <c r="D81" s="243" t="str" cm="1">
        <f t="array" ref="D81">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(PRICING[SKU]=$A81)*
            (
                ((PRICING[Rebate $]&lt;&gt;"")*(PRICING[Rebate $]&lt;&gt;0))
                +
                (
                    (
                        ISNUMBER(SEARCH("*Ronstar*FLO*",PRICING[Product]))+
                        ISNUMBER(SEARCH("Altus*",PRICING[Product]))+
                        ISNUMBER(SEARCH("Kontos*",PRICING[Product]))
                    )*
                    (PRICING[Min Qty]&lt;&gt;0)
                )
            )
        )
    ),
    ""
)</f>
        <v>$18.00 off on 1 unit</v>
      </c>
      <c r="E81" s="215" t="str">
        <f>_xlfn.XLOOKUP(A81, PRICING[SKU], PRICING[Product], "")</f>
        <v>Dismiss® Turf Herbicide</v>
      </c>
      <c r="F81" s="46" t="str">
        <f>_xlfn.XLOOKUP(A81, PRICING[SKU], PRICING[Size], "")</f>
        <v>6 oz</v>
      </c>
      <c r="G81" s="178" t="str">
        <f>IF(_xlfn.XLOOKUP(A81,PRICING[SKU],PRICING[Indication])="I","Insecticide",
 IF(_xlfn.XLOOKUP(A81,PRICING[SKU],PRICING[Indication])="H","Herbicide",
 IF(_xlfn.XLOOKUP(A81,PRICING[SKU],PRICING[Indication])="F","Fungicide",
 IF(_xlfn.XLOOKUP(A81,PRICING[SKU],PRICING[Indication])="PGR","PGR",""))))</f>
        <v>Herbicide</v>
      </c>
      <c r="H81" s="109"/>
      <c r="I81" s="192"/>
      <c r="J81" s="118">
        <f>INDEX(PRICING[NOW Price],MATCH(A81,PRICING[SKU],0))</f>
        <v>61.32</v>
      </c>
      <c r="K81" s="118" t="str">
        <f>IF(OR(H81="",O81=""),"",
IF(O81=1,INDEX(Rebate_Lookup[REB_MOQ_1],MATCH(A81,Rebate_Lookup[SKU CODE],0)),
IF(O81=2,INDEX(Rebate_Lookup[REB_MOQ_2],MATCH(A81,Rebate_Lookup[SKU CODE],0)),
IF(O81=3,INDEX(Rebate_Lookup[REB_MOQ_3],MATCH(A81,Rebate_Lookup[SKU CODE],0)),
IF(O81=4,INDEX(Rebate_Lookup[REB_MOQ_4],MATCH(A81,Rebate_Lookup[SKU CODE],0)),
"#err")))))</f>
        <v/>
      </c>
      <c r="L81" s="118" t="str">
        <f t="shared" si="26"/>
        <v/>
      </c>
      <c r="M81" s="119" t="str">
        <f t="shared" si="27"/>
        <v/>
      </c>
      <c r="N81" s="119" t="str">
        <f t="shared" si="28"/>
        <v/>
      </c>
      <c r="O81" s="193" t="str">
        <f>IF(H81="","",INDEX(Rebate_Lookup[Qualified Rebate Tier],MATCH(A81,Rebate_Lookup[SKU CODE],0)))</f>
        <v/>
      </c>
      <c r="P81" s="118" t="str">
        <f t="shared" si="29"/>
        <v/>
      </c>
      <c r="Q81" s="202" t="str">
        <f t="shared" si="30"/>
        <v/>
      </c>
      <c r="R81" s="183"/>
      <c r="S81" s="183"/>
      <c r="T81" s="229" cm="1">
        <f t="array" ref="T81">IF(OR(H81="",H81=0),
ROUND(_xlfn.XLOOKUP(1,(PRICING[SKU]=A81)*(PRICING[Set]=1),PRICING[Standard Use Rate (oz/M)]),2),ROUND(
_xlfn.XLOOKUP(
1,
(PRICING[SKU]=A81)*
(PRICING[Set]=IF(
_xlfn.XLOOKUP(A81,Rebate_Lookup[SKU CODE],Rebate_Lookup[MOQ_2])=0,
1,
IF(
AND(
_xlfn.XLOOKUP(A81,Rebate_Lookup[SKU CODE],Rebate_Lookup[MOQ_3])=0,
H81&gt;=_xlfn.XLOOKUP(A81,Rebate_Lookup[SKU CODE],Rebate_Lookup[MOQ_2])
),
2,
IF(
AND(
H81&gt;=_xlfn.XLOOKUP(A81,Rebate_Lookup[SKU CODE],Rebate_Lookup[MOQ_1]),
H81&lt;_xlfn.XLOOKUP(A81,Rebate_Lookup[SKU CODE],Rebate_Lookup[MOQ_2])
),
1,
IF(
AND(
H81&gt;=_xlfn.XLOOKUP(A81,Rebate_Lookup[SKU CODE],Rebate_Lookup[MOQ_2]),
OR(
_xlfn.XLOOKUP(A81,Rebate_Lookup[SKU CODE],Rebate_Lookup[MOQ_3])=0,
H81&lt;_xlfn.XLOOKUP(A81,Rebate_Lookup[SKU CODE],Rebate_Lookup[MOQ_3])
)
),
2,
IF(
OR(
AND(
_xlfn.XLOOKUP(A81,Rebate_Lookup[SKU CODE],Rebate_Lookup[MOQ_4])=0,
H81&gt;=_xlfn.XLOOKUP(A81,Rebate_Lookup[SKU CODE],Rebate_Lookup[MOQ_3])
),
AND(
_xlfn.XLOOKUP(A81,Rebate_Lookup[SKU CODE],Rebate_Lookup[MOQ_4])&gt;0,
H81&gt;=_xlfn.XLOOKUP(A81,Rebate_Lookup[SKU CODE],Rebate_Lookup[MOQ_3]),
H81&lt;_xlfn.XLOOKUP(A81,Rebate_Lookup[SKU CODE],Rebate_Lookup[MOQ_4])
)
),
3,
IF(
AND(
_xlfn.XLOOKUP(A81,Rebate_Lookup[SKU CODE],Rebate_Lookup[MOQ_4])&gt;0,
H81&gt;=_xlfn.XLOOKUP(A81,Rebate_Lookup[SKU CODE],Rebate_Lookup[MOQ_4])
),
4,
1
)
)
)
)
)
)),
PRICING[Standard Use Rate (oz/M)]
),
2
))</f>
        <v>0.18</v>
      </c>
      <c r="U81" s="143">
        <f t="shared" si="31"/>
        <v>7.84</v>
      </c>
      <c r="V81" s="45" t="str">
        <f>IF(AND(TRIM(U81)&lt;&gt;"",TRIM(H81)&lt;&gt;""),ROUND(H81*INDEX(PRICING[Package Ounces],MATCH(A81,PRICING[SKU],0))/U81,2),"")</f>
        <v/>
      </c>
      <c r="W81" s="222">
        <f t="shared" si="32"/>
        <v>0</v>
      </c>
      <c r="X81" s="231">
        <f t="shared" si="33"/>
        <v>0</v>
      </c>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row>
    <row r="82" spans="1:57" ht="18" customHeight="1" thickBot="1" x14ac:dyDescent="0.25">
      <c r="A82" s="175">
        <v>11008336</v>
      </c>
      <c r="B82" s="173" t="b">
        <f t="shared" si="25"/>
        <v>0</v>
      </c>
      <c r="D82" s="243" t="str" cm="1">
        <f t="array" ref="D82">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(PRICING[SKU]=$A82)*
            (
                ((PRICING[Rebate $]&lt;&gt;"")*(PRICING[Rebate $]&lt;&gt;0))
                +
                (
                    (
                        ISNUMBER(SEARCH("*Ronstar*FLO*",PRICING[Product]))+
                        ISNUMBER(SEARCH("Altus*",PRICING[Product]))+
                        ISNUMBER(SEARCH("Kontos*",PRICING[Product]))
                    )*
                    (PRICING[Min Qty]&lt;&gt;0)
                )
            )
        )
    ),
    ""
)</f>
        <v>$40.00 off on 1 unit</v>
      </c>
      <c r="E82" s="215" t="str">
        <f>_xlfn.XLOOKUP(A82, PRICING[SKU], PRICING[Product], "")</f>
        <v>Dismiss® Turf Herbicide</v>
      </c>
      <c r="F82" s="46" t="str">
        <f>_xlfn.XLOOKUP(A82, PRICING[SKU], PRICING[Size], "")</f>
        <v>64 oz</v>
      </c>
      <c r="G82" s="178" t="str">
        <f>IF(_xlfn.XLOOKUP(A82,PRICING[SKU],PRICING[Indication])="I","Insecticide",
 IF(_xlfn.XLOOKUP(A82,PRICING[SKU],PRICING[Indication])="H","Herbicide",
 IF(_xlfn.XLOOKUP(A82,PRICING[SKU],PRICING[Indication])="F","Fungicide",
 IF(_xlfn.XLOOKUP(A82,PRICING[SKU],PRICING[Indication])="PGR","PGR",""))))</f>
        <v>Herbicide</v>
      </c>
      <c r="H82" s="109"/>
      <c r="I82" s="192"/>
      <c r="J82" s="118">
        <f>INDEX(PRICING[NOW Price],MATCH(A82,PRICING[SKU],0))</f>
        <v>272.58999999999997</v>
      </c>
      <c r="K82" s="118" t="str">
        <f>IF(OR(H82="",O82=""),"",
IF(O82=1,INDEX(Rebate_Lookup[REB_MOQ_1],MATCH(A82,Rebate_Lookup[SKU CODE],0)),
IF(O82=2,INDEX(Rebate_Lookup[REB_MOQ_2],MATCH(A82,Rebate_Lookup[SKU CODE],0)),
IF(O82=3,INDEX(Rebate_Lookup[REB_MOQ_3],MATCH(A82,Rebate_Lookup[SKU CODE],0)),
IF(O82=4,INDEX(Rebate_Lookup[REB_MOQ_4],MATCH(A82,Rebate_Lookup[SKU CODE],0)),
"#err")))))</f>
        <v/>
      </c>
      <c r="L82" s="118" t="str">
        <f t="shared" si="26"/>
        <v/>
      </c>
      <c r="M82" s="119" t="str">
        <f t="shared" si="27"/>
        <v/>
      </c>
      <c r="N82" s="119" t="str">
        <f t="shared" si="28"/>
        <v/>
      </c>
      <c r="O82" s="193" t="str">
        <f>IF(H82="","",INDEX(Rebate_Lookup[Qualified Rebate Tier],MATCH(A82,Rebate_Lookup[SKU CODE],0)))</f>
        <v/>
      </c>
      <c r="P82" s="118" t="str">
        <f t="shared" si="29"/>
        <v/>
      </c>
      <c r="Q82" s="202" t="str">
        <f t="shared" si="30"/>
        <v/>
      </c>
      <c r="R82" s="183"/>
      <c r="S82" s="183"/>
      <c r="T82" s="229" cm="1">
        <f t="array" ref="T82">IF(OR(H82="",H82=0),
ROUND(_xlfn.XLOOKUP(1,(PRICING[SKU]=A82)*(PRICING[Set]=1),PRICING[Standard Use Rate (oz/M)]),2),ROUND(
_xlfn.XLOOKUP(
1,
(PRICING[SKU]=A82)*
(PRICING[Set]=IF(
_xlfn.XLOOKUP(A82,Rebate_Lookup[SKU CODE],Rebate_Lookup[MOQ_2])=0,
1,
IF(
AND(
_xlfn.XLOOKUP(A82,Rebate_Lookup[SKU CODE],Rebate_Lookup[MOQ_3])=0,
H82&gt;=_xlfn.XLOOKUP(A82,Rebate_Lookup[SKU CODE],Rebate_Lookup[MOQ_2])
),
2,
IF(
AND(
H82&gt;=_xlfn.XLOOKUP(A82,Rebate_Lookup[SKU CODE],Rebate_Lookup[MOQ_1]),
H82&lt;_xlfn.XLOOKUP(A82,Rebate_Lookup[SKU CODE],Rebate_Lookup[MOQ_2])
),
1,
IF(
AND(
H82&gt;=_xlfn.XLOOKUP(A82,Rebate_Lookup[SKU CODE],Rebate_Lookup[MOQ_2]),
OR(
_xlfn.XLOOKUP(A82,Rebate_Lookup[SKU CODE],Rebate_Lookup[MOQ_3])=0,
H82&lt;_xlfn.XLOOKUP(A82,Rebate_Lookup[SKU CODE],Rebate_Lookup[MOQ_3])
)
),
2,
IF(
OR(
AND(
_xlfn.XLOOKUP(A82,Rebate_Lookup[SKU CODE],Rebate_Lookup[MOQ_4])=0,
H82&gt;=_xlfn.XLOOKUP(A82,Rebate_Lookup[SKU CODE],Rebate_Lookup[MOQ_3])
),
AND(
_xlfn.XLOOKUP(A82,Rebate_Lookup[SKU CODE],Rebate_Lookup[MOQ_4])&gt;0,
H82&gt;=_xlfn.XLOOKUP(A82,Rebate_Lookup[SKU CODE],Rebate_Lookup[MOQ_3]),
H82&lt;_xlfn.XLOOKUP(A82,Rebate_Lookup[SKU CODE],Rebate_Lookup[MOQ_4])
)
),
3,
IF(
AND(
_xlfn.XLOOKUP(A82,Rebate_Lookup[SKU CODE],Rebate_Lookup[MOQ_4])&gt;0,
H82&gt;=_xlfn.XLOOKUP(A82,Rebate_Lookup[SKU CODE],Rebate_Lookup[MOQ_4])
),
4,
1
)
)
)
)
)
)),
PRICING[Standard Use Rate (oz/M)]
),
2
))</f>
        <v>0.18</v>
      </c>
      <c r="U82" s="143">
        <f t="shared" si="31"/>
        <v>7.84</v>
      </c>
      <c r="V82" s="45" t="str">
        <f>IF(AND(TRIM(U82)&lt;&gt;"",TRIM(H82)&lt;&gt;""),ROUND(H82*INDEX(PRICING[Package Ounces],MATCH(A82,PRICING[SKU],0))/U82,2),"")</f>
        <v/>
      </c>
      <c r="W82" s="222">
        <f t="shared" si="32"/>
        <v>0</v>
      </c>
      <c r="X82" s="231">
        <f t="shared" si="33"/>
        <v>0</v>
      </c>
      <c r="Y82" s="98"/>
      <c r="Z82" s="98"/>
      <c r="AA82" s="98"/>
      <c r="AB82" s="98"/>
      <c r="AC82" s="98"/>
      <c r="AD82" s="98"/>
      <c r="AE82" s="98"/>
      <c r="AF82" s="98"/>
      <c r="AG82" s="98"/>
      <c r="AH82" s="98"/>
      <c r="AI82" s="98"/>
      <c r="AJ82" s="98"/>
      <c r="AK82" s="98"/>
      <c r="AL82" s="98"/>
      <c r="AM82" s="98"/>
      <c r="AN82" s="98"/>
      <c r="AO82" s="98"/>
      <c r="AP82" s="98"/>
      <c r="AQ82" s="98"/>
      <c r="AR82" s="98"/>
      <c r="AS82" s="98"/>
      <c r="AT82" s="98"/>
      <c r="AU82" s="98"/>
      <c r="AV82" s="98"/>
      <c r="AW82" s="98"/>
      <c r="AX82" s="98"/>
      <c r="AY82" s="98"/>
      <c r="AZ82" s="98"/>
      <c r="BA82" s="98"/>
      <c r="BB82" s="98"/>
      <c r="BC82" s="98"/>
      <c r="BD82" s="98"/>
      <c r="BE82" s="98"/>
    </row>
    <row r="83" spans="1:57" ht="18" customHeight="1" thickBot="1" x14ac:dyDescent="0.25">
      <c r="A83" s="175" t="s">
        <v>91</v>
      </c>
      <c r="B83" s="173" t="b">
        <f t="shared" si="25"/>
        <v>0</v>
      </c>
      <c r="D83" s="243" t="str" cm="1">
        <f t="array" ref="D83">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(PRICING[SKU]=$A83)*
            (
                ((PRICING[Rebate $]&lt;&gt;"")*(PRICING[Rebate $]&lt;&gt;0))
                +
                (
                    (
                        ISNUMBER(SEARCH("*Ronstar*FLO*",PRICING[Product]))+
                        ISNUMBER(SEARCH("Altus*",PRICING[Product]))+
                        ISNUMBER(SEARCH("Kontos*",PRICING[Product]))
                    )*
                    (PRICING[Min Qty]&lt;&gt;0)
                )
            )
        )
    ),
    ""
)</f>
        <v>$2.50 off on 1 unit</v>
      </c>
      <c r="E83" s="215" t="str">
        <f>_xlfn.XLOOKUP(A83, PRICING[SKU], PRICING[Product], "")</f>
        <v>Durentis® 0.058% On-Fertilizer</v>
      </c>
      <c r="F83" s="46" t="str">
        <f>_xlfn.XLOOKUP(A83, PRICING[SKU], PRICING[Size], "")</f>
        <v>50 lb</v>
      </c>
      <c r="G83" s="178" t="str">
        <f>IF(_xlfn.XLOOKUP(A83,PRICING[SKU],PRICING[Indication])="I","Insecticide",
 IF(_xlfn.XLOOKUP(A83,PRICING[SKU],PRICING[Indication])="H","Herbicide",
 IF(_xlfn.XLOOKUP(A83,PRICING[SKU],PRICING[Indication])="F","Fungicide",
 IF(_xlfn.XLOOKUP(A83,PRICING[SKU],PRICING[Indication])="PGR","PGR",""))))</f>
        <v>Insecticide</v>
      </c>
      <c r="H83" s="109"/>
      <c r="I83" s="192"/>
      <c r="J83" s="118">
        <f>INDEX(PRICING[NOW Price],MATCH(A83,PRICING[SKU],0))</f>
        <v>20</v>
      </c>
      <c r="K83" s="118" t="str">
        <f>IF(OR(H83="",O83=""),"",
IF(O83=1,INDEX(Rebate_Lookup[REB_MOQ_1],MATCH(A83,Rebate_Lookup[SKU CODE],0)),
IF(O83=2,INDEX(Rebate_Lookup[REB_MOQ_2],MATCH(A83,Rebate_Lookup[SKU CODE],0)),
IF(O83=3,INDEX(Rebate_Lookup[REB_MOQ_3],MATCH(A83,Rebate_Lookup[SKU CODE],0)),
IF(O83=4,INDEX(Rebate_Lookup[REB_MOQ_4],MATCH(A83,Rebate_Lookup[SKU CODE],0)),
"#err")))))</f>
        <v/>
      </c>
      <c r="L83" s="118" t="str">
        <f t="shared" si="26"/>
        <v/>
      </c>
      <c r="M83" s="119" t="str">
        <f t="shared" si="27"/>
        <v/>
      </c>
      <c r="N83" s="119" t="str">
        <f t="shared" si="28"/>
        <v/>
      </c>
      <c r="O83" s="193" t="str">
        <f>IF(H83="","",INDEX(Rebate_Lookup[Qualified Rebate Tier],MATCH(A83,Rebate_Lookup[SKU CODE],0)))</f>
        <v/>
      </c>
      <c r="P83" s="118" t="str">
        <f t="shared" si="29"/>
        <v/>
      </c>
      <c r="Q83" s="202" t="str">
        <f t="shared" si="30"/>
        <v/>
      </c>
      <c r="R83" s="183"/>
      <c r="S83" s="183"/>
      <c r="T83" s="229" cm="1">
        <f t="array" ref="T83">IF(OR(H83="",H83=0),
ROUND(_xlfn.XLOOKUP(1,(PRICING[SKU]=A83)*(PRICING[Set]=1),PRICING[Standard Use Rate (oz/M)]),2),ROUND(
_xlfn.XLOOKUP(
1,
(PRICING[SKU]=A83)*
(PRICING[Set]=IF(
_xlfn.XLOOKUP(A83,Rebate_Lookup[SKU CODE],Rebate_Lookup[MOQ_2])=0,
1,
IF(
AND(
_xlfn.XLOOKUP(A83,Rebate_Lookup[SKU CODE],Rebate_Lookup[MOQ_3])=0,
H83&gt;=_xlfn.XLOOKUP(A83,Rebate_Lookup[SKU CODE],Rebate_Lookup[MOQ_2])
),
2,
IF(
AND(
H83&gt;=_xlfn.XLOOKUP(A83,Rebate_Lookup[SKU CODE],Rebate_Lookup[MOQ_1]),
H83&lt;_xlfn.XLOOKUP(A83,Rebate_Lookup[SKU CODE],Rebate_Lookup[MOQ_2])
),
1,
IF(
AND(
H83&gt;=_xlfn.XLOOKUP(A83,Rebate_Lookup[SKU CODE],Rebate_Lookup[MOQ_2]),
OR(
_xlfn.XLOOKUP(A83,Rebate_Lookup[SKU CODE],Rebate_Lookup[MOQ_3])=0,
H83&lt;_xlfn.XLOOKUP(A83,Rebate_Lookup[SKU CODE],Rebate_Lookup[MOQ_3])
)
),
2,
IF(
OR(
AND(
_xlfn.XLOOKUP(A83,Rebate_Lookup[SKU CODE],Rebate_Lookup[MOQ_4])=0,
H83&gt;=_xlfn.XLOOKUP(A83,Rebate_Lookup[SKU CODE],Rebate_Lookup[MOQ_3])
),
AND(
_xlfn.XLOOKUP(A83,Rebate_Lookup[SKU CODE],Rebate_Lookup[MOQ_4])&gt;0,
H83&gt;=_xlfn.XLOOKUP(A83,Rebate_Lookup[SKU CODE],Rebate_Lookup[MOQ_3]),
H83&lt;_xlfn.XLOOKUP(A83,Rebate_Lookup[SKU CODE],Rebate_Lookup[MOQ_4])
)
),
3,
IF(
AND(
_xlfn.XLOOKUP(A83,Rebate_Lookup[SKU CODE],Rebate_Lookup[MOQ_4])&gt;0,
H83&gt;=_xlfn.XLOOKUP(A83,Rebate_Lookup[SKU CODE],Rebate_Lookup[MOQ_4])
),
4,
1
)
)
)
)
)
)),
PRICING[Standard Use Rate (oz/M)]
),
2
))</f>
        <v>4.0199999999999996</v>
      </c>
      <c r="U83" s="143">
        <f t="shared" si="31"/>
        <v>175.11</v>
      </c>
      <c r="V83" s="45" t="str">
        <f>IF(AND(TRIM(U83)&lt;&gt;"",TRIM(H83)&lt;&gt;""),ROUND(H83*INDEX(PRICING[Package Ounces],MATCH(A83,PRICING[SKU],0))/U83,2),"")</f>
        <v/>
      </c>
      <c r="W83" s="222">
        <f t="shared" si="32"/>
        <v>0</v>
      </c>
      <c r="X83" s="231">
        <f t="shared" si="33"/>
        <v>0</v>
      </c>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row>
    <row r="84" spans="1:57" ht="18" customHeight="1" thickBot="1" x14ac:dyDescent="0.25">
      <c r="A84" s="174" t="s">
        <v>92</v>
      </c>
      <c r="B84" s="173" t="b">
        <f t="shared" si="25"/>
        <v>0</v>
      </c>
      <c r="D84" s="243" t="str" cm="1">
        <f t="array" ref="D84">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(PRICING[SKU]=$A84)*
            (
                ((PRICING[Rebate $]&lt;&gt;"")*(PRICING[Rebate $]&lt;&gt;0))
                +
                (
                    (
                        ISNUMBER(SEARCH("*Ronstar*FLO*",PRICING[Product]))+
                        ISNUMBER(SEARCH("Altus*",PRICING[Product]))+
                        ISNUMBER(SEARCH("Kontos*",PRICING[Product]))
                    )*
                    (PRICING[Min Qty]&lt;&gt;0)
                )
            )
        )
    ),
    ""
)</f>
        <v>$5.50 off on 1 unit</v>
      </c>
      <c r="E84" s="215" t="str">
        <f>_xlfn.XLOOKUP(A84, PRICING[SKU], PRICING[Product], "")</f>
        <v>Durentis® 0.067% On-Fertilizer</v>
      </c>
      <c r="F84" s="46" t="str">
        <f>_xlfn.XLOOKUP(A84, PRICING[SKU], PRICING[Size], "")</f>
        <v>50 lb</v>
      </c>
      <c r="G84" s="178" t="str">
        <f>IF(_xlfn.XLOOKUP(A84,PRICING[SKU],PRICING[Indication])="I","Insecticide",
 IF(_xlfn.XLOOKUP(A84,PRICING[SKU],PRICING[Indication])="H","Herbicide",
 IF(_xlfn.XLOOKUP(A84,PRICING[SKU],PRICING[Indication])="F","Fungicide",
 IF(_xlfn.XLOOKUP(A84,PRICING[SKU],PRICING[Indication])="PGR","PGR",""))))</f>
        <v>Insecticide</v>
      </c>
      <c r="H84" s="109"/>
      <c r="I84" s="192"/>
      <c r="J84" s="118">
        <f>INDEX(PRICING[NOW Price],MATCH(A84,PRICING[SKU],0))</f>
        <v>25</v>
      </c>
      <c r="K84" s="118" t="str">
        <f>IF(OR(H84="",O84=""),"",
IF(O84=1,INDEX(Rebate_Lookup[REB_MOQ_1],MATCH(A84,Rebate_Lookup[SKU CODE],0)),
IF(O84=2,INDEX(Rebate_Lookup[REB_MOQ_2],MATCH(A84,Rebate_Lookup[SKU CODE],0)),
IF(O84=3,INDEX(Rebate_Lookup[REB_MOQ_3],MATCH(A84,Rebate_Lookup[SKU CODE],0)),
IF(O84=4,INDEX(Rebate_Lookup[REB_MOQ_4],MATCH(A84,Rebate_Lookup[SKU CODE],0)),
"#err")))))</f>
        <v/>
      </c>
      <c r="L84" s="118" t="str">
        <f t="shared" si="26"/>
        <v/>
      </c>
      <c r="M84" s="119" t="str">
        <f t="shared" si="27"/>
        <v/>
      </c>
      <c r="N84" s="119" t="str">
        <f t="shared" si="28"/>
        <v/>
      </c>
      <c r="O84" s="193" t="str">
        <f>IF(H84="","",INDEX(Rebate_Lookup[Qualified Rebate Tier],MATCH(A84,Rebate_Lookup[SKU CODE],0)))</f>
        <v/>
      </c>
      <c r="P84" s="118" t="str">
        <f t="shared" si="29"/>
        <v/>
      </c>
      <c r="Q84" s="202" t="str">
        <f t="shared" si="30"/>
        <v/>
      </c>
      <c r="R84" s="183"/>
      <c r="S84" s="183"/>
      <c r="T84" s="229" cm="1">
        <f t="array" ref="T84">IF(OR(H84="",H84=0),
ROUND(_xlfn.XLOOKUP(1,(PRICING[SKU]=A84)*(PRICING[Set]=1),PRICING[Standard Use Rate (oz/M)]),2),ROUND(
_xlfn.XLOOKUP(
1,
(PRICING[SKU]=A84)*
(PRICING[Set]=IF(
_xlfn.XLOOKUP(A84,Rebate_Lookup[SKU CODE],Rebate_Lookup[MOQ_2])=0,
1,
IF(
AND(
_xlfn.XLOOKUP(A84,Rebate_Lookup[SKU CODE],Rebate_Lookup[MOQ_3])=0,
H84&gt;=_xlfn.XLOOKUP(A84,Rebate_Lookup[SKU CODE],Rebate_Lookup[MOQ_2])
),
2,
IF(
AND(
H84&gt;=_xlfn.XLOOKUP(A84,Rebate_Lookup[SKU CODE],Rebate_Lookup[MOQ_1]),
H84&lt;_xlfn.XLOOKUP(A84,Rebate_Lookup[SKU CODE],Rebate_Lookup[MOQ_2])
),
1,
IF(
AND(
H84&gt;=_xlfn.XLOOKUP(A84,Rebate_Lookup[SKU CODE],Rebate_Lookup[MOQ_2]),
OR(
_xlfn.XLOOKUP(A84,Rebate_Lookup[SKU CODE],Rebate_Lookup[MOQ_3])=0,
H84&lt;_xlfn.XLOOKUP(A84,Rebate_Lookup[SKU CODE],Rebate_Lookup[MOQ_3])
)
),
2,
IF(
OR(
AND(
_xlfn.XLOOKUP(A84,Rebate_Lookup[SKU CODE],Rebate_Lookup[MOQ_4])=0,
H84&gt;=_xlfn.XLOOKUP(A84,Rebate_Lookup[SKU CODE],Rebate_Lookup[MOQ_3])
),
AND(
_xlfn.XLOOKUP(A84,Rebate_Lookup[SKU CODE],Rebate_Lookup[MOQ_4])&gt;0,
H84&gt;=_xlfn.XLOOKUP(A84,Rebate_Lookup[SKU CODE],Rebate_Lookup[MOQ_3]),
H84&lt;_xlfn.XLOOKUP(A84,Rebate_Lookup[SKU CODE],Rebate_Lookup[MOQ_4])
)
),
3,
IF(
AND(
_xlfn.XLOOKUP(A84,Rebate_Lookup[SKU CODE],Rebate_Lookup[MOQ_4])&gt;0,
H84&gt;=_xlfn.XLOOKUP(A84,Rebate_Lookup[SKU CODE],Rebate_Lookup[MOQ_4])
),
4,
1
)
)
)
)
)
)),
PRICING[Standard Use Rate (oz/M)]
),
2
))</f>
        <v>3.44</v>
      </c>
      <c r="U84" s="143">
        <f t="shared" si="31"/>
        <v>149.85</v>
      </c>
      <c r="V84" s="45" t="str">
        <f>IF(AND(TRIM(U84)&lt;&gt;"",TRIM(H84)&lt;&gt;""),ROUND(H84*INDEX(PRICING[Package Ounces],MATCH(A84,PRICING[SKU],0))/U84,2),"")</f>
        <v/>
      </c>
      <c r="W84" s="222">
        <f t="shared" si="32"/>
        <v>0</v>
      </c>
      <c r="X84" s="231">
        <f t="shared" si="33"/>
        <v>0</v>
      </c>
      <c r="Y84" s="98"/>
      <c r="Z84" s="98"/>
      <c r="AA84" s="98"/>
      <c r="AB84" s="98"/>
      <c r="AC84" s="98"/>
      <c r="AD84" s="98"/>
      <c r="AE84" s="98"/>
      <c r="AF84" s="98"/>
      <c r="AG84" s="98"/>
      <c r="AH84" s="98"/>
      <c r="AI84" s="98"/>
      <c r="AJ84" s="98"/>
      <c r="AK84" s="98"/>
      <c r="AL84" s="98"/>
      <c r="AM84" s="98"/>
      <c r="AN84" s="98"/>
      <c r="AO84" s="98"/>
      <c r="AP84" s="98"/>
      <c r="AQ84" s="98"/>
      <c r="AR84" s="98"/>
      <c r="AS84" s="98"/>
      <c r="AT84" s="98"/>
      <c r="AU84" s="98"/>
      <c r="AV84" s="98"/>
      <c r="AW84" s="98"/>
      <c r="AX84" s="98"/>
      <c r="AY84" s="98"/>
      <c r="AZ84" s="98"/>
      <c r="BA84" s="98"/>
      <c r="BB84" s="98"/>
      <c r="BC84" s="98"/>
      <c r="BD84" s="98"/>
      <c r="BE84" s="98"/>
    </row>
    <row r="85" spans="1:57" ht="18" customHeight="1" thickBot="1" x14ac:dyDescent="0.25">
      <c r="A85" s="175" t="s">
        <v>93</v>
      </c>
      <c r="B85" s="173" t="b">
        <f t="shared" si="25"/>
        <v>0</v>
      </c>
      <c r="D85" s="243" t="str" cm="1">
        <f t="array" ref="D85">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(PRICING[SKU]=$A85)*
            (
                ((PRICING[Rebate $]&lt;&gt;"")*(PRICING[Rebate $]&lt;&gt;0))
                +
                (
                    (
                        ISNUMBER(SEARCH("*Ronstar*FLO*",PRICING[Product]))+
                        ISNUMBER(SEARCH("Altus*",PRICING[Product]))+
                        ISNUMBER(SEARCH("Kontos*",PRICING[Product]))
                    )*
                    (PRICING[Min Qty]&lt;&gt;0)
                )
            )
        )
    ),
    ""
)</f>
        <v>$4.00 off on 1 unit</v>
      </c>
      <c r="E85" s="215" t="str">
        <f>_xlfn.XLOOKUP(A85, PRICING[SKU], PRICING[Product], "")</f>
        <v xml:space="preserve">Dylox® 420 SL </v>
      </c>
      <c r="F85" s="46" t="str">
        <f>_xlfn.XLOOKUP(A85, PRICING[SKU], PRICING[Size], "")</f>
        <v xml:space="preserve">2.5 gal </v>
      </c>
      <c r="G85" s="178" t="str">
        <f>IF(_xlfn.XLOOKUP(A85,PRICING[SKU],PRICING[Indication])="I","Insecticide",
 IF(_xlfn.XLOOKUP(A85,PRICING[SKU],PRICING[Indication])="H","Herbicide",
 IF(_xlfn.XLOOKUP(A85,PRICING[SKU],PRICING[Indication])="F","Fungicide",
 IF(_xlfn.XLOOKUP(A85,PRICING[SKU],PRICING[Indication])="PGR","PGR",""))))</f>
        <v>Insecticide</v>
      </c>
      <c r="H85" s="109"/>
      <c r="I85" s="192"/>
      <c r="J85" s="118">
        <f>INDEX(PRICING[NOW Price],MATCH(A85,PRICING[SKU],0))</f>
        <v>239.09</v>
      </c>
      <c r="K85" s="118" t="str">
        <f>IF(OR(H85="",O85=""),"",
IF(O85=1,INDEX(Rebate_Lookup[REB_MOQ_1],MATCH(A85,Rebate_Lookup[SKU CODE],0)),
IF(O85=2,INDEX(Rebate_Lookup[REB_MOQ_2],MATCH(A85,Rebate_Lookup[SKU CODE],0)),
IF(O85=3,INDEX(Rebate_Lookup[REB_MOQ_3],MATCH(A85,Rebate_Lookup[SKU CODE],0)),
IF(O85=4,INDEX(Rebate_Lookup[REB_MOQ_4],MATCH(A85,Rebate_Lookup[SKU CODE],0)),
"#err")))))</f>
        <v/>
      </c>
      <c r="L85" s="118" t="str">
        <f t="shared" si="26"/>
        <v/>
      </c>
      <c r="M85" s="119" t="str">
        <f t="shared" si="27"/>
        <v/>
      </c>
      <c r="N85" s="119" t="str">
        <f t="shared" si="28"/>
        <v/>
      </c>
      <c r="O85" s="193" t="str">
        <f>IF(H85="","",INDEX(Rebate_Lookup[Qualified Rebate Tier],MATCH(A85,Rebate_Lookup[SKU CODE],0)))</f>
        <v/>
      </c>
      <c r="P85" s="118" t="str">
        <f t="shared" si="29"/>
        <v/>
      </c>
      <c r="Q85" s="202" t="str">
        <f t="shared" si="30"/>
        <v/>
      </c>
      <c r="R85" s="183"/>
      <c r="S85" s="183"/>
      <c r="T85" s="229" cm="1">
        <f t="array" ref="T85">IF(OR(H85="",H85=0),
ROUND(_xlfn.XLOOKUP(1,(PRICING[SKU]=A85)*(PRICING[Set]=1),PRICING[Standard Use Rate (oz/M)]),2),ROUND(
_xlfn.XLOOKUP(
1,
(PRICING[SKU]=A85)*
(PRICING[Set]=IF(
_xlfn.XLOOKUP(A85,Rebate_Lookup[SKU CODE],Rebate_Lookup[MOQ_2])=0,
1,
IF(
AND(
_xlfn.XLOOKUP(A85,Rebate_Lookup[SKU CODE],Rebate_Lookup[MOQ_3])=0,
H85&gt;=_xlfn.XLOOKUP(A85,Rebate_Lookup[SKU CODE],Rebate_Lookup[MOQ_2])
),
2,
IF(
AND(
H85&gt;=_xlfn.XLOOKUP(A85,Rebate_Lookup[SKU CODE],Rebate_Lookup[MOQ_1]),
H85&lt;_xlfn.XLOOKUP(A85,Rebate_Lookup[SKU CODE],Rebate_Lookup[MOQ_2])
),
1,
IF(
AND(
H85&gt;=_xlfn.XLOOKUP(A85,Rebate_Lookup[SKU CODE],Rebate_Lookup[MOQ_2]),
OR(
_xlfn.XLOOKUP(A85,Rebate_Lookup[SKU CODE],Rebate_Lookup[MOQ_3])=0,
H85&lt;_xlfn.XLOOKUP(A85,Rebate_Lookup[SKU CODE],Rebate_Lookup[MOQ_3])
)
),
2,
IF(
OR(
AND(
_xlfn.XLOOKUP(A85,Rebate_Lookup[SKU CODE],Rebate_Lookup[MOQ_4])=0,
H85&gt;=_xlfn.XLOOKUP(A85,Rebate_Lookup[SKU CODE],Rebate_Lookup[MOQ_3])
),
AND(
_xlfn.XLOOKUP(A85,Rebate_Lookup[SKU CODE],Rebate_Lookup[MOQ_4])&gt;0,
H85&gt;=_xlfn.XLOOKUP(A85,Rebate_Lookup[SKU CODE],Rebate_Lookup[MOQ_3]),
H85&lt;_xlfn.XLOOKUP(A85,Rebate_Lookup[SKU CODE],Rebate_Lookup[MOQ_4])
)
),
3,
IF(
AND(
_xlfn.XLOOKUP(A85,Rebate_Lookup[SKU CODE],Rebate_Lookup[MOQ_4])&gt;0,
H85&gt;=_xlfn.XLOOKUP(A85,Rebate_Lookup[SKU CODE],Rebate_Lookup[MOQ_4])
),
4,
1
)
)
)
)
)
)),
PRICING[Standard Use Rate (oz/M)]
),
2
))</f>
        <v>6.9</v>
      </c>
      <c r="U85" s="143">
        <f t="shared" si="31"/>
        <v>300.56</v>
      </c>
      <c r="V85" s="45" t="str">
        <f>IF(AND(TRIM(U85)&lt;&gt;"",TRIM(H85)&lt;&gt;""),ROUND(H85*INDEX(PRICING[Package Ounces],MATCH(A85,PRICING[SKU],0))/U85,2),"")</f>
        <v/>
      </c>
      <c r="W85" s="222">
        <f t="shared" si="32"/>
        <v>0</v>
      </c>
      <c r="X85" s="231">
        <f t="shared" si="33"/>
        <v>0</v>
      </c>
      <c r="Y85" s="98"/>
      <c r="Z85" s="98"/>
      <c r="AA85" s="98"/>
      <c r="AB85" s="98"/>
      <c r="AC85" s="98"/>
      <c r="AD85" s="98"/>
      <c r="AE85" s="98"/>
      <c r="AF85" s="98"/>
      <c r="AG85" s="98"/>
      <c r="AH85" s="98"/>
      <c r="AI85" s="98"/>
      <c r="AJ85" s="98"/>
      <c r="AK85" s="98"/>
      <c r="AL85" s="98"/>
      <c r="AM85" s="98"/>
      <c r="AN85" s="98"/>
      <c r="AO85" s="98"/>
      <c r="AP85" s="98"/>
      <c r="AQ85" s="98"/>
      <c r="AR85" s="98"/>
      <c r="AS85" s="98"/>
      <c r="AT85" s="98"/>
      <c r="AU85" s="98"/>
      <c r="AV85" s="98"/>
      <c r="AW85" s="98"/>
      <c r="AX85" s="98"/>
      <c r="AY85" s="98"/>
      <c r="AZ85" s="98"/>
      <c r="BA85" s="98"/>
      <c r="BB85" s="98"/>
      <c r="BC85" s="98"/>
      <c r="BD85" s="98"/>
      <c r="BE85" s="98"/>
    </row>
    <row r="86" spans="1:57" ht="18" customHeight="1" thickBot="1" x14ac:dyDescent="0.25">
      <c r="A86" s="174" t="s">
        <v>94</v>
      </c>
      <c r="B86" s="173" t="b">
        <f t="shared" si="25"/>
        <v>0</v>
      </c>
      <c r="D86" s="243" t="str" cm="1">
        <f t="array" ref="D86">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(PRICING[SKU]=$A86)*
            (
                ((PRICING[Rebate $]&lt;&gt;"")*(PRICING[Rebate $]&lt;&gt;0))
                +
                (
                    (
                        ISNUMBER(SEARCH("*Ronstar*FLO*",PRICING[Product]))+
                        ISNUMBER(SEARCH("Altus*",PRICING[Product]))+
                        ISNUMBER(SEARCH("Kontos*",PRICING[Product]))
                    )*
                    (PRICING[Min Qty]&lt;&gt;0)
                )
            )
        )
    ),
    ""
)</f>
        <v/>
      </c>
      <c r="E86" s="215" t="str">
        <f>_xlfn.XLOOKUP(A86, PRICING[SKU], PRICING[Product], "")</f>
        <v>Dylox® 6.2 G</v>
      </c>
      <c r="F86" s="46" t="str">
        <f>_xlfn.XLOOKUP(A86, PRICING[SKU], PRICING[Size], "")</f>
        <v>30 lb</v>
      </c>
      <c r="G86" s="178" t="str">
        <f>IF(_xlfn.XLOOKUP(A86,PRICING[SKU],PRICING[Indication])="I","Insecticide",
 IF(_xlfn.XLOOKUP(A86,PRICING[SKU],PRICING[Indication])="H","Herbicide",
 IF(_xlfn.XLOOKUP(A86,PRICING[SKU],PRICING[Indication])="F","Fungicide",
 IF(_xlfn.XLOOKUP(A86,PRICING[SKU],PRICING[Indication])="PGR","PGR",""))))</f>
        <v>Insecticide</v>
      </c>
      <c r="H86" s="109"/>
      <c r="I86" s="192"/>
      <c r="J86" s="118">
        <f>INDEX(PRICING[NOW Price],MATCH(A86,PRICING[SKU],0))</f>
        <v>54.35</v>
      </c>
      <c r="K86" s="118" t="str">
        <f>IF(OR(H86="",O86=""),"",
IF(O86=1,INDEX(Rebate_Lookup[REB_MOQ_1],MATCH(A86,Rebate_Lookup[SKU CODE],0)),
IF(O86=2,INDEX(Rebate_Lookup[REB_MOQ_2],MATCH(A86,Rebate_Lookup[SKU CODE],0)),
IF(O86=3,INDEX(Rebate_Lookup[REB_MOQ_3],MATCH(A86,Rebate_Lookup[SKU CODE],0)),
IF(O86=4,INDEX(Rebate_Lookup[REB_MOQ_4],MATCH(A86,Rebate_Lookup[SKU CODE],0)),
"#err")))))</f>
        <v/>
      </c>
      <c r="L86" s="118" t="str">
        <f t="shared" si="26"/>
        <v/>
      </c>
      <c r="M86" s="119" t="str">
        <f t="shared" si="27"/>
        <v/>
      </c>
      <c r="N86" s="119" t="str">
        <f t="shared" si="28"/>
        <v/>
      </c>
      <c r="O86" s="193" t="str">
        <f>IF(H86="","",INDEX(Rebate_Lookup[Qualified Rebate Tier],MATCH(A86,Rebate_Lookup[SKU CODE],0)))</f>
        <v/>
      </c>
      <c r="P86" s="118" t="str">
        <f t="shared" si="29"/>
        <v/>
      </c>
      <c r="Q86" s="202" t="str">
        <f t="shared" si="30"/>
        <v/>
      </c>
      <c r="R86" s="183"/>
      <c r="S86" s="183"/>
      <c r="T86" s="229" cm="1">
        <f t="array" ref="T86">IF(OR(H86="",H86=0),
ROUND(_xlfn.XLOOKUP(1,(PRICING[SKU]=A86)*(PRICING[Set]=1),PRICING[Standard Use Rate (oz/M)]),2),ROUND(
_xlfn.XLOOKUP(
1,
(PRICING[SKU]=A86)*
(PRICING[Set]=IF(
_xlfn.XLOOKUP(A86,Rebate_Lookup[SKU CODE],Rebate_Lookup[MOQ_2])=0,
1,
IF(
AND(
_xlfn.XLOOKUP(A86,Rebate_Lookup[SKU CODE],Rebate_Lookup[MOQ_3])=0,
H86&gt;=_xlfn.XLOOKUP(A86,Rebate_Lookup[SKU CODE],Rebate_Lookup[MOQ_2])
),
2,
IF(
AND(
H86&gt;=_xlfn.XLOOKUP(A86,Rebate_Lookup[SKU CODE],Rebate_Lookup[MOQ_1]),
H86&lt;_xlfn.XLOOKUP(A86,Rebate_Lookup[SKU CODE],Rebate_Lookup[MOQ_2])
),
1,
IF(
AND(
H86&gt;=_xlfn.XLOOKUP(A86,Rebate_Lookup[SKU CODE],Rebate_Lookup[MOQ_2]),
OR(
_xlfn.XLOOKUP(A86,Rebate_Lookup[SKU CODE],Rebate_Lookup[MOQ_3])=0,
H86&lt;_xlfn.XLOOKUP(A86,Rebate_Lookup[SKU CODE],Rebate_Lookup[MOQ_3])
)
),
2,
IF(
OR(
AND(
_xlfn.XLOOKUP(A86,Rebate_Lookup[SKU CODE],Rebate_Lookup[MOQ_4])=0,
H86&gt;=_xlfn.XLOOKUP(A86,Rebate_Lookup[SKU CODE],Rebate_Lookup[MOQ_3])
),
AND(
_xlfn.XLOOKUP(A86,Rebate_Lookup[SKU CODE],Rebate_Lookup[MOQ_4])&gt;0,
H86&gt;=_xlfn.XLOOKUP(A86,Rebate_Lookup[SKU CODE],Rebate_Lookup[MOQ_3]),
H86&lt;_xlfn.XLOOKUP(A86,Rebate_Lookup[SKU CODE],Rebate_Lookup[MOQ_4])
)
),
3,
IF(
AND(
_xlfn.XLOOKUP(A86,Rebate_Lookup[SKU CODE],Rebate_Lookup[MOQ_4])&gt;0,
H86&gt;=_xlfn.XLOOKUP(A86,Rebate_Lookup[SKU CODE],Rebate_Lookup[MOQ_4])
),
4,
1
)
)
)
)
)
)),
PRICING[Standard Use Rate (oz/M)]
),
2
))</f>
        <v>0</v>
      </c>
      <c r="U86" s="143">
        <f t="shared" si="31"/>
        <v>0</v>
      </c>
      <c r="V86" s="45" t="str">
        <f>IF(AND(TRIM(U86)&lt;&gt;"",TRIM(H86)&lt;&gt;""),ROUND(H86*INDEX(PRICING[Package Ounces],MATCH(A86,PRICING[SKU],0))/U86,2),"")</f>
        <v/>
      </c>
      <c r="W86" s="222">
        <f t="shared" si="32"/>
        <v>0</v>
      </c>
      <c r="X86" s="231">
        <f t="shared" si="33"/>
        <v>0</v>
      </c>
      <c r="Y86" s="98"/>
      <c r="Z86" s="98"/>
      <c r="AA86" s="98"/>
      <c r="AB86" s="98"/>
      <c r="AC86" s="98"/>
      <c r="AD86" s="98"/>
      <c r="AE86" s="98"/>
      <c r="AF86" s="98"/>
      <c r="AG86" s="98"/>
      <c r="AH86" s="98"/>
      <c r="AI86" s="98"/>
      <c r="AJ86" s="98"/>
      <c r="AK86" s="98"/>
      <c r="AL86" s="98"/>
      <c r="AM86" s="98"/>
      <c r="AN86" s="98"/>
      <c r="AO86" s="98"/>
      <c r="AP86" s="98"/>
      <c r="AQ86" s="98"/>
      <c r="AR86" s="98"/>
      <c r="AS86" s="98"/>
      <c r="AT86" s="98"/>
      <c r="AU86" s="98"/>
      <c r="AV86" s="98"/>
      <c r="AW86" s="98"/>
      <c r="AX86" s="98"/>
      <c r="AY86" s="98"/>
      <c r="AZ86" s="98"/>
      <c r="BA86" s="98"/>
      <c r="BB86" s="98"/>
      <c r="BC86" s="98"/>
      <c r="BD86" s="98"/>
      <c r="BE86" s="98"/>
    </row>
    <row r="87" spans="1:57" ht="18" customHeight="1" thickBot="1" x14ac:dyDescent="0.25">
      <c r="A87" s="175" t="s">
        <v>95</v>
      </c>
      <c r="B87" s="173" t="b">
        <f t="shared" si="25"/>
        <v>0</v>
      </c>
      <c r="D87" s="243" t="str" cm="1">
        <f t="array" ref="D87">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(PRICING[SKU]=$A87)*
            (
                ((PRICING[Rebate $]&lt;&gt;"")*(PRICING[Rebate $]&lt;&gt;0))
                +
                (
                    (
                        ISNUMBER(SEARCH("*Ronstar*FLO*",PRICING[Product]))+
                        ISNUMBER(SEARCH("Altus*",PRICING[Product]))+
                        ISNUMBER(SEARCH("Kontos*",PRICING[Product]))
                    )*
                    (PRICING[Min Qty]&lt;&gt;0)
                )
            )
        )
    ),
    ""
)</f>
        <v>$1.00 off on 1 unit</v>
      </c>
      <c r="E87" s="215" t="str">
        <f>_xlfn.XLOOKUP(A87, PRICING[SKU], PRICING[Product], "")</f>
        <v>Merit® 2F®</v>
      </c>
      <c r="F87" s="46" t="str">
        <f>_xlfn.XLOOKUP(A87, PRICING[SKU], PRICING[Size], "")</f>
        <v>1 gal</v>
      </c>
      <c r="G87" s="178" t="str">
        <f>IF(_xlfn.XLOOKUP(A87,PRICING[SKU],PRICING[Indication])="I","Insecticide",
 IF(_xlfn.XLOOKUP(A87,PRICING[SKU],PRICING[Indication])="H","Herbicide",
 IF(_xlfn.XLOOKUP(A87,PRICING[SKU],PRICING[Indication])="F","Fungicide",
 IF(_xlfn.XLOOKUP(A87,PRICING[SKU],PRICING[Indication])="PGR","PGR",""))))</f>
        <v>Insecticide</v>
      </c>
      <c r="H87" s="109"/>
      <c r="I87" s="192"/>
      <c r="J87" s="118">
        <f>INDEX(PRICING[NOW Price],MATCH(A87,PRICING[SKU],0))</f>
        <v>53.55</v>
      </c>
      <c r="K87" s="118" t="str">
        <f>IF(OR(H87="",O87=""),"",
IF(O87=1,INDEX(Rebate_Lookup[REB_MOQ_1],MATCH(A87,Rebate_Lookup[SKU CODE],0)),
IF(O87=2,INDEX(Rebate_Lookup[REB_MOQ_2],MATCH(A87,Rebate_Lookup[SKU CODE],0)),
IF(O87=3,INDEX(Rebate_Lookup[REB_MOQ_3],MATCH(A87,Rebate_Lookup[SKU CODE],0)),
IF(O87=4,INDEX(Rebate_Lookup[REB_MOQ_4],MATCH(A87,Rebate_Lookup[SKU CODE],0)),
"#err")))))</f>
        <v/>
      </c>
      <c r="L87" s="118" t="str">
        <f t="shared" si="26"/>
        <v/>
      </c>
      <c r="M87" s="119" t="str">
        <f t="shared" si="27"/>
        <v/>
      </c>
      <c r="N87" s="119" t="str">
        <f t="shared" si="28"/>
        <v/>
      </c>
      <c r="O87" s="193" t="str">
        <f>IF(H87="","",INDEX(Rebate_Lookup[Qualified Rebate Tier],MATCH(A87,Rebate_Lookup[SKU CODE],0)))</f>
        <v/>
      </c>
      <c r="P87" s="118" t="str">
        <f t="shared" si="29"/>
        <v/>
      </c>
      <c r="Q87" s="202" t="str">
        <f t="shared" si="30"/>
        <v/>
      </c>
      <c r="R87" s="183"/>
      <c r="S87" s="183"/>
      <c r="T87" s="229" cm="1">
        <f t="array" ref="T87">IF(OR(H87="",H87=0),
ROUND(_xlfn.XLOOKUP(1,(PRICING[SKU]=A87)*(PRICING[Set]=1),PRICING[Standard Use Rate (oz/M)]),2),ROUND(
_xlfn.XLOOKUP(
1,
(PRICING[SKU]=A87)*
(PRICING[Set]=IF(
_xlfn.XLOOKUP(A87,Rebate_Lookup[SKU CODE],Rebate_Lookup[MOQ_2])=0,
1,
IF(
AND(
_xlfn.XLOOKUP(A87,Rebate_Lookup[SKU CODE],Rebate_Lookup[MOQ_3])=0,
H87&gt;=_xlfn.XLOOKUP(A87,Rebate_Lookup[SKU CODE],Rebate_Lookup[MOQ_2])
),
2,
IF(
AND(
H87&gt;=_xlfn.XLOOKUP(A87,Rebate_Lookup[SKU CODE],Rebate_Lookup[MOQ_1]),
H87&lt;_xlfn.XLOOKUP(A87,Rebate_Lookup[SKU CODE],Rebate_Lookup[MOQ_2])
),
1,
IF(
AND(
H87&gt;=_xlfn.XLOOKUP(A87,Rebate_Lookup[SKU CODE],Rebate_Lookup[MOQ_2]),
OR(
_xlfn.XLOOKUP(A87,Rebate_Lookup[SKU CODE],Rebate_Lookup[MOQ_3])=0,
H87&lt;_xlfn.XLOOKUP(A87,Rebate_Lookup[SKU CODE],Rebate_Lookup[MOQ_3])
)
),
2,
IF(
OR(
AND(
_xlfn.XLOOKUP(A87,Rebate_Lookup[SKU CODE],Rebate_Lookup[MOQ_4])=0,
H87&gt;=_xlfn.XLOOKUP(A87,Rebate_Lookup[SKU CODE],Rebate_Lookup[MOQ_3])
),
AND(
_xlfn.XLOOKUP(A87,Rebate_Lookup[SKU CODE],Rebate_Lookup[MOQ_4])&gt;0,
H87&gt;=_xlfn.XLOOKUP(A87,Rebate_Lookup[SKU CODE],Rebate_Lookup[MOQ_3]),
H87&lt;_xlfn.XLOOKUP(A87,Rebate_Lookup[SKU CODE],Rebate_Lookup[MOQ_4])
)
),
3,
IF(
AND(
_xlfn.XLOOKUP(A87,Rebate_Lookup[SKU CODE],Rebate_Lookup[MOQ_4])&gt;0,
H87&gt;=_xlfn.XLOOKUP(A87,Rebate_Lookup[SKU CODE],Rebate_Lookup[MOQ_4])
),
4,
1
)
)
)
)
)
)),
PRICING[Standard Use Rate (oz/M)]
),
2
))</f>
        <v>0.6</v>
      </c>
      <c r="U87" s="143">
        <f t="shared" si="31"/>
        <v>26.14</v>
      </c>
      <c r="V87" s="45" t="str">
        <f>IF(AND(TRIM(U87)&lt;&gt;"",TRIM(H87)&lt;&gt;""),ROUND(H87*INDEX(PRICING[Package Ounces],MATCH(A87,PRICING[SKU],0))/U87,2),"")</f>
        <v/>
      </c>
      <c r="W87" s="222">
        <f t="shared" si="32"/>
        <v>0</v>
      </c>
      <c r="X87" s="231">
        <f t="shared" si="33"/>
        <v>0</v>
      </c>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row>
    <row r="88" spans="1:57" ht="18" customHeight="1" thickBot="1" x14ac:dyDescent="0.25">
      <c r="A88" s="174" t="s">
        <v>96</v>
      </c>
      <c r="B88" s="173" t="b">
        <f t="shared" si="25"/>
        <v>0</v>
      </c>
      <c r="D88" s="243" t="str" cm="1">
        <f t="array" ref="D88">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(PRICING[SKU]=$A88)*
            (
                ((PRICING[Rebate $]&lt;&gt;"")*(PRICING[Rebate $]&lt;&gt;0))
                +
                (
                    (
                        ISNUMBER(SEARCH("*Ronstar*FLO*",PRICING[Product]))+
                        ISNUMBER(SEARCH("Altus*",PRICING[Product]))+
                        ISNUMBER(SEARCH("Kontos*",PRICING[Product]))
                    )*
                    (PRICING[Min Qty]&lt;&gt;0)
                )
            )
        )
    ),
    ""
)</f>
        <v/>
      </c>
      <c r="E88" s="215" t="str">
        <f>_xlfn.XLOOKUP(A88, PRICING[SKU], PRICING[Product], "")</f>
        <v>Merit WP 75</v>
      </c>
      <c r="F88" s="46" t="str">
        <f>_xlfn.XLOOKUP(A88, PRICING[SKU], PRICING[Size], "")</f>
        <v>1.6 oz</v>
      </c>
      <c r="G88" s="178" t="str">
        <f>IF(_xlfn.XLOOKUP(A88,PRICING[SKU],PRICING[Indication])="I","Insecticide",
 IF(_xlfn.XLOOKUP(A88,PRICING[SKU],PRICING[Indication])="H","Herbicide",
 IF(_xlfn.XLOOKUP(A88,PRICING[SKU],PRICING[Indication])="F","Fungicide",
 IF(_xlfn.XLOOKUP(A88,PRICING[SKU],PRICING[Indication])="PGR","PGR",""))))</f>
        <v>Insecticide</v>
      </c>
      <c r="H88" s="109"/>
      <c r="I88" s="192"/>
      <c r="J88" s="118">
        <f>INDEX(PRICING[NOW Price],MATCH(A88,PRICING[SKU],0))</f>
        <v>26.42</v>
      </c>
      <c r="K88" s="118" t="str">
        <f>IF(OR(H88="",O88=""),"",
IF(O88=1,INDEX(Rebate_Lookup[REB_MOQ_1],MATCH(A88,Rebate_Lookup[SKU CODE],0)),
IF(O88=2,INDEX(Rebate_Lookup[REB_MOQ_2],MATCH(A88,Rebate_Lookup[SKU CODE],0)),
IF(O88=3,INDEX(Rebate_Lookup[REB_MOQ_3],MATCH(A88,Rebate_Lookup[SKU CODE],0)),
IF(O88=4,INDEX(Rebate_Lookup[REB_MOQ_4],MATCH(A88,Rebate_Lookup[SKU CODE],0)),
"#err")))))</f>
        <v/>
      </c>
      <c r="L88" s="118" t="str">
        <f t="shared" si="26"/>
        <v/>
      </c>
      <c r="M88" s="119" t="str">
        <f t="shared" si="27"/>
        <v/>
      </c>
      <c r="N88" s="119" t="str">
        <f t="shared" si="28"/>
        <v/>
      </c>
      <c r="O88" s="193" t="str">
        <f>IF(H88="","",INDEX(Rebate_Lookup[Qualified Rebate Tier],MATCH(A88,Rebate_Lookup[SKU CODE],0)))</f>
        <v/>
      </c>
      <c r="P88" s="118" t="str">
        <f t="shared" si="29"/>
        <v/>
      </c>
      <c r="Q88" s="202" t="str">
        <f t="shared" si="30"/>
        <v/>
      </c>
      <c r="R88" s="183"/>
      <c r="S88" s="183"/>
      <c r="T88" s="229" cm="1">
        <f t="array" ref="T88">IF(OR(H88="",H88=0),
ROUND(_xlfn.XLOOKUP(1,(PRICING[SKU]=A88)*(PRICING[Set]=1),PRICING[Standard Use Rate (oz/M)]),2),ROUND(
_xlfn.XLOOKUP(
1,
(PRICING[SKU]=A88)*
(PRICING[Set]=IF(
_xlfn.XLOOKUP(A88,Rebate_Lookup[SKU CODE],Rebate_Lookup[MOQ_2])=0,
1,
IF(
AND(
_xlfn.XLOOKUP(A88,Rebate_Lookup[SKU CODE],Rebate_Lookup[MOQ_3])=0,
H88&gt;=_xlfn.XLOOKUP(A88,Rebate_Lookup[SKU CODE],Rebate_Lookup[MOQ_2])
),
2,
IF(
AND(
H88&gt;=_xlfn.XLOOKUP(A88,Rebate_Lookup[SKU CODE],Rebate_Lookup[MOQ_1]),
H88&lt;_xlfn.XLOOKUP(A88,Rebate_Lookup[SKU CODE],Rebate_Lookup[MOQ_2])
),
1,
IF(
AND(
H88&gt;=_xlfn.XLOOKUP(A88,Rebate_Lookup[SKU CODE],Rebate_Lookup[MOQ_2]),
OR(
_xlfn.XLOOKUP(A88,Rebate_Lookup[SKU CODE],Rebate_Lookup[MOQ_3])=0,
H88&lt;_xlfn.XLOOKUP(A88,Rebate_Lookup[SKU CODE],Rebate_Lookup[MOQ_3])
)
),
2,
IF(
OR(
AND(
_xlfn.XLOOKUP(A88,Rebate_Lookup[SKU CODE],Rebate_Lookup[MOQ_4])=0,
H88&gt;=_xlfn.XLOOKUP(A88,Rebate_Lookup[SKU CODE],Rebate_Lookup[MOQ_3])
),
AND(
_xlfn.XLOOKUP(A88,Rebate_Lookup[SKU CODE],Rebate_Lookup[MOQ_4])&gt;0,
H88&gt;=_xlfn.XLOOKUP(A88,Rebate_Lookup[SKU CODE],Rebate_Lookup[MOQ_3]),
H88&lt;_xlfn.XLOOKUP(A88,Rebate_Lookup[SKU CODE],Rebate_Lookup[MOQ_4])
)
),
3,
IF(
AND(
_xlfn.XLOOKUP(A88,Rebate_Lookup[SKU CODE],Rebate_Lookup[MOQ_4])&gt;0,
H88&gt;=_xlfn.XLOOKUP(A88,Rebate_Lookup[SKU CODE],Rebate_Lookup[MOQ_4])
),
4,
1
)
)
)
)
)
)),
PRICING[Standard Use Rate (oz/M)]
),
2
))</f>
        <v>1.9</v>
      </c>
      <c r="U88" s="143">
        <f t="shared" si="31"/>
        <v>82.76</v>
      </c>
      <c r="V88" s="45" t="str">
        <f>IF(AND(TRIM(U88)&lt;&gt;"",TRIM(H88)&lt;&gt;""),ROUND(H88*INDEX(PRICING[Package Ounces],MATCH(A88,PRICING[SKU],0))/U88,2),"")</f>
        <v/>
      </c>
      <c r="W88" s="222">
        <f t="shared" si="32"/>
        <v>0</v>
      </c>
      <c r="X88" s="231">
        <f t="shared" si="33"/>
        <v>0</v>
      </c>
      <c r="Y88" s="98"/>
      <c r="Z88" s="98"/>
      <c r="AA88" s="98"/>
      <c r="AB88" s="98"/>
      <c r="AC88" s="98"/>
      <c r="AD88" s="98"/>
      <c r="AE88" s="98"/>
      <c r="AF88" s="98"/>
      <c r="AG88" s="98"/>
      <c r="AH88" s="98"/>
      <c r="AI88" s="98"/>
      <c r="AJ88" s="98"/>
      <c r="AK88" s="98"/>
      <c r="AL88" s="98"/>
      <c r="AM88" s="98"/>
      <c r="AN88" s="98"/>
      <c r="AO88" s="98"/>
      <c r="AP88" s="98"/>
      <c r="AQ88" s="98"/>
      <c r="AR88" s="98"/>
      <c r="AS88" s="98"/>
      <c r="AT88" s="98"/>
      <c r="AU88" s="98"/>
      <c r="AV88" s="98"/>
      <c r="AW88" s="98"/>
      <c r="AX88" s="98"/>
      <c r="AY88" s="98"/>
      <c r="AZ88" s="98"/>
      <c r="BA88" s="98"/>
      <c r="BB88" s="98"/>
      <c r="BC88" s="98"/>
      <c r="BD88" s="98"/>
      <c r="BE88" s="98"/>
    </row>
    <row r="89" spans="1:57" ht="18" customHeight="1" thickBot="1" x14ac:dyDescent="0.25">
      <c r="A89" s="175">
        <v>86215578</v>
      </c>
      <c r="B89" s="173" t="b">
        <f t="shared" si="25"/>
        <v>0</v>
      </c>
      <c r="D89" s="243" t="str" cm="1">
        <f t="array" ref="D89">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(PRICING[SKU]=$A89)*
            (
                ((PRICING[Rebate $]&lt;&gt;"")*(PRICING[Rebate $]&lt;&gt;0))
                +
                (
                    (
                        ISNUMBER(SEARCH("*Ronstar*FLO*",PRICING[Product]))+
                        ISNUMBER(SEARCH("Altus*",PRICING[Product]))+
                        ISNUMBER(SEARCH("Kontos*",PRICING[Product]))
                    )*
                    (PRICING[Min Qty]&lt;&gt;0)
                )
            )
        )
    ),
    ""
)</f>
        <v>$15.00 off on 1 unit</v>
      </c>
      <c r="E89" s="215" t="str">
        <f>_xlfn.XLOOKUP(A89, PRICING[SKU], PRICING[Product], "")</f>
        <v>Prograss EC</v>
      </c>
      <c r="F89" s="46" t="str">
        <f>_xlfn.XLOOKUP(A89, PRICING[SKU], PRICING[Size], "")</f>
        <v xml:space="preserve">2.5 gal </v>
      </c>
      <c r="G89" s="178" t="str">
        <f>IF(_xlfn.XLOOKUP(A89,PRICING[SKU],PRICING[Indication])="I","Insecticide",
 IF(_xlfn.XLOOKUP(A89,PRICING[SKU],PRICING[Indication])="H","Herbicide",
 IF(_xlfn.XLOOKUP(A89,PRICING[SKU],PRICING[Indication])="F","Fungicide",
 IF(_xlfn.XLOOKUP(A89,PRICING[SKU],PRICING[Indication])="PGR","PGR",""))))</f>
        <v>Herbicide</v>
      </c>
      <c r="H89" s="109"/>
      <c r="I89" s="192"/>
      <c r="J89" s="118">
        <f>INDEX(PRICING[NOW Price],MATCH(A89,PRICING[SKU],0))</f>
        <v>375.62</v>
      </c>
      <c r="K89" s="118" t="str">
        <f>IF(OR(H89="",O89=""),"",
IF(O89=1,INDEX(Rebate_Lookup[REB_MOQ_1],MATCH(A89,Rebate_Lookup[SKU CODE],0)),
IF(O89=2,INDEX(Rebate_Lookup[REB_MOQ_2],MATCH(A89,Rebate_Lookup[SKU CODE],0)),
IF(O89=3,INDEX(Rebate_Lookup[REB_MOQ_3],MATCH(A89,Rebate_Lookup[SKU CODE],0)),
IF(O89=4,INDEX(Rebate_Lookup[REB_MOQ_4],MATCH(A89,Rebate_Lookup[SKU CODE],0)),
"#err")))))</f>
        <v/>
      </c>
      <c r="L89" s="118" t="str">
        <f t="shared" si="26"/>
        <v/>
      </c>
      <c r="M89" s="119" t="str">
        <f t="shared" si="27"/>
        <v/>
      </c>
      <c r="N89" s="119" t="str">
        <f t="shared" si="28"/>
        <v/>
      </c>
      <c r="O89" s="193" t="str">
        <f>IF(H89="","",INDEX(Rebate_Lookup[Qualified Rebate Tier],MATCH(A89,Rebate_Lookup[SKU CODE],0)))</f>
        <v/>
      </c>
      <c r="P89" s="118" t="str">
        <f t="shared" si="29"/>
        <v/>
      </c>
      <c r="Q89" s="202" t="str">
        <f t="shared" si="30"/>
        <v/>
      </c>
      <c r="R89" s="183"/>
      <c r="S89" s="183"/>
      <c r="T89" s="229" cm="1">
        <f t="array" ref="T89">IF(OR(H89="",H89=0),
ROUND(_xlfn.XLOOKUP(1,(PRICING[SKU]=A89)*(PRICING[Set]=1),PRICING[Standard Use Rate (oz/M)]),2),ROUND(
_xlfn.XLOOKUP(
1,
(PRICING[SKU]=A89)*
(PRICING[Set]=IF(
_xlfn.XLOOKUP(A89,Rebate_Lookup[SKU CODE],Rebate_Lookup[MOQ_2])=0,
1,
IF(
AND(
_xlfn.XLOOKUP(A89,Rebate_Lookup[SKU CODE],Rebate_Lookup[MOQ_3])=0,
H89&gt;=_xlfn.XLOOKUP(A89,Rebate_Lookup[SKU CODE],Rebate_Lookup[MOQ_2])
),
2,
IF(
AND(
H89&gt;=_xlfn.XLOOKUP(A89,Rebate_Lookup[SKU CODE],Rebate_Lookup[MOQ_1]),
H89&lt;_xlfn.XLOOKUP(A89,Rebate_Lookup[SKU CODE],Rebate_Lookup[MOQ_2])
),
1,
IF(
AND(
H89&gt;=_xlfn.XLOOKUP(A89,Rebate_Lookup[SKU CODE],Rebate_Lookup[MOQ_2]),
OR(
_xlfn.XLOOKUP(A89,Rebate_Lookup[SKU CODE],Rebate_Lookup[MOQ_3])=0,
H89&lt;_xlfn.XLOOKUP(A89,Rebate_Lookup[SKU CODE],Rebate_Lookup[MOQ_3])
)
),
2,
IF(
OR(
AND(
_xlfn.XLOOKUP(A89,Rebate_Lookup[SKU CODE],Rebate_Lookup[MOQ_4])=0,
H89&gt;=_xlfn.XLOOKUP(A89,Rebate_Lookup[SKU CODE],Rebate_Lookup[MOQ_3])
),
AND(
_xlfn.XLOOKUP(A89,Rebate_Lookup[SKU CODE],Rebate_Lookup[MOQ_4])&gt;0,
H89&gt;=_xlfn.XLOOKUP(A89,Rebate_Lookup[SKU CODE],Rebate_Lookup[MOQ_3]),
H89&lt;_xlfn.XLOOKUP(A89,Rebate_Lookup[SKU CODE],Rebate_Lookup[MOQ_4])
)
),
3,
IF(
AND(
_xlfn.XLOOKUP(A89,Rebate_Lookup[SKU CODE],Rebate_Lookup[MOQ_4])&gt;0,
H89&gt;=_xlfn.XLOOKUP(A89,Rebate_Lookup[SKU CODE],Rebate_Lookup[MOQ_4])
),
4,
1
)
)
)
)
)
)),
PRICING[Standard Use Rate (oz/M)]
),
2
))</f>
        <v>1.95</v>
      </c>
      <c r="U89" s="143">
        <f t="shared" si="31"/>
        <v>84.94</v>
      </c>
      <c r="V89" s="45" t="str">
        <f>IF(AND(TRIM(U89)&lt;&gt;"",TRIM(H89)&lt;&gt;""),ROUND(H89*INDEX(PRICING[Package Ounces],MATCH(A89,PRICING[SKU],0))/U89,2),"")</f>
        <v/>
      </c>
      <c r="W89" s="222">
        <f t="shared" si="32"/>
        <v>0</v>
      </c>
      <c r="X89" s="231">
        <f t="shared" si="33"/>
        <v>0</v>
      </c>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row>
    <row r="90" spans="1:57" ht="18" customHeight="1" thickBot="1" x14ac:dyDescent="0.25">
      <c r="A90" s="174" t="s">
        <v>97</v>
      </c>
      <c r="B90" s="173" t="b">
        <f t="shared" si="25"/>
        <v>0</v>
      </c>
      <c r="D90" s="243" t="str" cm="1">
        <f t="array" ref="D90">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(PRICING[SKU]=$A90)*
            (
                ((PRICING[Rebate $]&lt;&gt;"")*(PRICING[Rebate $]&lt;&gt;0))
                +
                (
                    (
                        ISNUMBER(SEARCH("*Ronstar*FLO*",PRICING[Product]))+
                        ISNUMBER(SEARCH("Altus*",PRICING[Product]))+
                        ISNUMBER(SEARCH("Kontos*",PRICING[Product]))
                    )*
                    (PRICING[Min Qty]&lt;&gt;0)
                )
            )
        )
    ),
    ""
)</f>
        <v>$5.00 off on 1 unit</v>
      </c>
      <c r="E90" s="215" t="str">
        <f>_xlfn.XLOOKUP(A90, PRICING[SKU], PRICING[Product], "")</f>
        <v>Proxy®</v>
      </c>
      <c r="F90" s="46" t="str">
        <f>_xlfn.XLOOKUP(A90, PRICING[SKU], PRICING[Size], "")</f>
        <v xml:space="preserve">2.5 gal </v>
      </c>
      <c r="G90" s="178" t="str">
        <f>IF(_xlfn.XLOOKUP(A90,PRICING[SKU],PRICING[Indication])="I","Insecticide",
 IF(_xlfn.XLOOKUP(A90,PRICING[SKU],PRICING[Indication])="H","Herbicide",
 IF(_xlfn.XLOOKUP(A90,PRICING[SKU],PRICING[Indication])="F","Fungicide",
 IF(_xlfn.XLOOKUP(A90,PRICING[SKU],PRICING[Indication])="PGR","PGR",""))))</f>
        <v>PGR</v>
      </c>
      <c r="H90" s="109"/>
      <c r="I90" s="192"/>
      <c r="J90" s="118">
        <f>INDEX(PRICING[NOW Price],MATCH(A90,PRICING[SKU],0))</f>
        <v>104.3</v>
      </c>
      <c r="K90" s="118" t="str">
        <f>IF(OR(H90="",O90=""),"",
IF(O90=1,INDEX(Rebate_Lookup[REB_MOQ_1],MATCH(A90,Rebate_Lookup[SKU CODE],0)),
IF(O90=2,INDEX(Rebate_Lookup[REB_MOQ_2],MATCH(A90,Rebate_Lookup[SKU CODE],0)),
IF(O90=3,INDEX(Rebate_Lookup[REB_MOQ_3],MATCH(A90,Rebate_Lookup[SKU CODE],0)),
IF(O90=4,INDEX(Rebate_Lookup[REB_MOQ_4],MATCH(A90,Rebate_Lookup[SKU CODE],0)),
"#err")))))</f>
        <v/>
      </c>
      <c r="L90" s="118" t="str">
        <f t="shared" si="26"/>
        <v/>
      </c>
      <c r="M90" s="119" t="str">
        <f t="shared" si="27"/>
        <v/>
      </c>
      <c r="N90" s="119" t="str">
        <f t="shared" si="28"/>
        <v/>
      </c>
      <c r="O90" s="193" t="str">
        <f>IF(H90="","",INDEX(Rebate_Lookup[Qualified Rebate Tier],MATCH(A90,Rebate_Lookup[SKU CODE],0)))</f>
        <v/>
      </c>
      <c r="P90" s="118" t="str">
        <f t="shared" si="29"/>
        <v/>
      </c>
      <c r="Q90" s="202" t="str">
        <f t="shared" si="30"/>
        <v/>
      </c>
      <c r="R90" s="183"/>
      <c r="S90" s="183"/>
      <c r="T90" s="229" cm="1">
        <f t="array" ref="T90">IF(OR(H90="",H90=0),
ROUND(_xlfn.XLOOKUP(1,(PRICING[SKU]=A90)*(PRICING[Set]=1),PRICING[Standard Use Rate (oz/M)]),2),ROUND(
_xlfn.XLOOKUP(
1,
(PRICING[SKU]=A90)*
(PRICING[Set]=IF(
_xlfn.XLOOKUP(A90,Rebate_Lookup[SKU CODE],Rebate_Lookup[MOQ_2])=0,
1,
IF(
AND(
_xlfn.XLOOKUP(A90,Rebate_Lookup[SKU CODE],Rebate_Lookup[MOQ_3])=0,
H90&gt;=_xlfn.XLOOKUP(A90,Rebate_Lookup[SKU CODE],Rebate_Lookup[MOQ_2])
),
2,
IF(
AND(
H90&gt;=_xlfn.XLOOKUP(A90,Rebate_Lookup[SKU CODE],Rebate_Lookup[MOQ_1]),
H90&lt;_xlfn.XLOOKUP(A90,Rebate_Lookup[SKU CODE],Rebate_Lookup[MOQ_2])
),
1,
IF(
AND(
H90&gt;=_xlfn.XLOOKUP(A90,Rebate_Lookup[SKU CODE],Rebate_Lookup[MOQ_2]),
OR(
_xlfn.XLOOKUP(A90,Rebate_Lookup[SKU CODE],Rebate_Lookup[MOQ_3])=0,
H90&lt;_xlfn.XLOOKUP(A90,Rebate_Lookup[SKU CODE],Rebate_Lookup[MOQ_3])
)
),
2,
IF(
OR(
AND(
_xlfn.XLOOKUP(A90,Rebate_Lookup[SKU CODE],Rebate_Lookup[MOQ_4])=0,
H90&gt;=_xlfn.XLOOKUP(A90,Rebate_Lookup[SKU CODE],Rebate_Lookup[MOQ_3])
),
AND(
_xlfn.XLOOKUP(A90,Rebate_Lookup[SKU CODE],Rebate_Lookup[MOQ_4])&gt;0,
H90&gt;=_xlfn.XLOOKUP(A90,Rebate_Lookup[SKU CODE],Rebate_Lookup[MOQ_3]),
H90&lt;_xlfn.XLOOKUP(A90,Rebate_Lookup[SKU CODE],Rebate_Lookup[MOQ_4])
)
),
3,
IF(
AND(
_xlfn.XLOOKUP(A90,Rebate_Lookup[SKU CODE],Rebate_Lookup[MOQ_4])&gt;0,
H90&gt;=_xlfn.XLOOKUP(A90,Rebate_Lookup[SKU CODE],Rebate_Lookup[MOQ_4])
),
4,
1
)
)
)
)
)
)),
PRICING[Standard Use Rate (oz/M)]
),
2
))</f>
        <v>5</v>
      </c>
      <c r="U90" s="143">
        <f t="shared" si="31"/>
        <v>217.8</v>
      </c>
      <c r="V90" s="45" t="str">
        <f>IF(AND(TRIM(U90)&lt;&gt;"",TRIM(H90)&lt;&gt;""),ROUND(H90*INDEX(PRICING[Package Ounces],MATCH(A90,PRICING[SKU],0))/U90,2),"")</f>
        <v/>
      </c>
      <c r="W90" s="222">
        <f t="shared" si="32"/>
        <v>0</v>
      </c>
      <c r="X90" s="231">
        <f t="shared" si="33"/>
        <v>0</v>
      </c>
      <c r="Y90" s="98"/>
      <c r="Z90" s="98"/>
      <c r="AA90" s="98"/>
      <c r="AB90" s="98"/>
      <c r="AC90" s="98"/>
      <c r="AD90" s="98"/>
      <c r="AE90" s="98"/>
      <c r="AF90" s="98"/>
      <c r="AG90" s="98"/>
      <c r="AH90" s="98"/>
      <c r="AI90" s="98"/>
      <c r="AJ90" s="98"/>
      <c r="AK90" s="98"/>
      <c r="AL90" s="98"/>
      <c r="AM90" s="98"/>
      <c r="AN90" s="98"/>
      <c r="AO90" s="98"/>
      <c r="AP90" s="98"/>
      <c r="AQ90" s="98"/>
      <c r="AR90" s="98"/>
      <c r="AS90" s="98"/>
      <c r="AT90" s="98"/>
      <c r="AU90" s="98"/>
      <c r="AV90" s="98"/>
      <c r="AW90" s="98"/>
      <c r="AX90" s="98"/>
      <c r="AY90" s="98"/>
      <c r="AZ90" s="98"/>
      <c r="BA90" s="98"/>
      <c r="BB90" s="98"/>
      <c r="BC90" s="98"/>
      <c r="BD90" s="98"/>
      <c r="BE90" s="98"/>
    </row>
    <row r="91" spans="1:57" ht="18" customHeight="1" thickBot="1" x14ac:dyDescent="0.25">
      <c r="A91" s="175">
        <v>11008447</v>
      </c>
      <c r="B91" s="173" t="b">
        <f t="shared" si="25"/>
        <v>0</v>
      </c>
      <c r="D91" s="243" t="str" cm="1">
        <f t="array" ref="D91">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(PRICING[SKU]=$A91)*
            (
                ((PRICING[Rebate $]&lt;&gt;"")*(PRICING[Rebate $]&lt;&gt;0))
                +
                (
                    (
                        ISNUMBER(SEARCH("*Ronstar*FLO*",PRICING[Product]))+
                        ISNUMBER(SEARCH("Altus*",PRICING[Product]))+
                        ISNUMBER(SEARCH("Kontos*",PRICING[Product]))
                    )*
                    (PRICING[Min Qty]&lt;&gt;0)
                )
            )
        )
    ),
    ""
)</f>
        <v>$20.00 off on 1 unit</v>
      </c>
      <c r="E91" s="215" t="str">
        <f>_xlfn.XLOOKUP(A91, PRICING[SKU], PRICING[Product], "")</f>
        <v xml:space="preserve">QuickSilver® Herbicide </v>
      </c>
      <c r="F91" s="46" t="str">
        <f>_xlfn.XLOOKUP(A91, PRICING[SKU], PRICING[Size], "")</f>
        <v>8 oz</v>
      </c>
      <c r="G91" s="178" t="str">
        <f>IF(_xlfn.XLOOKUP(A91,PRICING[SKU],PRICING[Indication])="I","Insecticide",
 IF(_xlfn.XLOOKUP(A91,PRICING[SKU],PRICING[Indication])="H","Herbicide",
 IF(_xlfn.XLOOKUP(A91,PRICING[SKU],PRICING[Indication])="F","Fungicide",
 IF(_xlfn.XLOOKUP(A91,PRICING[SKU],PRICING[Indication])="PGR","PGR",""))))</f>
        <v>Herbicide</v>
      </c>
      <c r="H91" s="109"/>
      <c r="I91" s="192"/>
      <c r="J91" s="118">
        <f>INDEX(PRICING[NOW Price],MATCH(A91,PRICING[SKU],0))</f>
        <v>169.93</v>
      </c>
      <c r="K91" s="118" t="str">
        <f>IF(OR(H91="",O91=""),"",
IF(O91=1,INDEX(Rebate_Lookup[REB_MOQ_1],MATCH(A91,Rebate_Lookup[SKU CODE],0)),
IF(O91=2,INDEX(Rebate_Lookup[REB_MOQ_2],MATCH(A91,Rebate_Lookup[SKU CODE],0)),
IF(O91=3,INDEX(Rebate_Lookup[REB_MOQ_3],MATCH(A91,Rebate_Lookup[SKU CODE],0)),
IF(O91=4,INDEX(Rebate_Lookup[REB_MOQ_4],MATCH(A91,Rebate_Lookup[SKU CODE],0)),
"#err")))))</f>
        <v/>
      </c>
      <c r="L91" s="118" t="str">
        <f t="shared" si="26"/>
        <v/>
      </c>
      <c r="M91" s="119" t="str">
        <f t="shared" si="27"/>
        <v/>
      </c>
      <c r="N91" s="119" t="str">
        <f t="shared" si="28"/>
        <v/>
      </c>
      <c r="O91" s="193" t="str">
        <f>IF(H91="","",INDEX(Rebate_Lookup[Qualified Rebate Tier],MATCH(A91,Rebate_Lookup[SKU CODE],0)))</f>
        <v/>
      </c>
      <c r="P91" s="118" t="str">
        <f t="shared" si="29"/>
        <v/>
      </c>
      <c r="Q91" s="202" t="str">
        <f t="shared" si="30"/>
        <v/>
      </c>
      <c r="R91" s="183"/>
      <c r="S91" s="183"/>
      <c r="T91" s="229" cm="1">
        <f t="array" ref="T91">IF(OR(H91="",H91=0),
ROUND(_xlfn.XLOOKUP(1,(PRICING[SKU]=A91)*(PRICING[Set]=1),PRICING[Standard Use Rate (oz/M)]),2),ROUND(
_xlfn.XLOOKUP(
1,
(PRICING[SKU]=A91)*
(PRICING[Set]=IF(
_xlfn.XLOOKUP(A91,Rebate_Lookup[SKU CODE],Rebate_Lookup[MOQ_2])=0,
1,
IF(
AND(
_xlfn.XLOOKUP(A91,Rebate_Lookup[SKU CODE],Rebate_Lookup[MOQ_3])=0,
H91&gt;=_xlfn.XLOOKUP(A91,Rebate_Lookup[SKU CODE],Rebate_Lookup[MOQ_2])
),
2,
IF(
AND(
H91&gt;=_xlfn.XLOOKUP(A91,Rebate_Lookup[SKU CODE],Rebate_Lookup[MOQ_1]),
H91&lt;_xlfn.XLOOKUP(A91,Rebate_Lookup[SKU CODE],Rebate_Lookup[MOQ_2])
),
1,
IF(
AND(
H91&gt;=_xlfn.XLOOKUP(A91,Rebate_Lookup[SKU CODE],Rebate_Lookup[MOQ_2]),
OR(
_xlfn.XLOOKUP(A91,Rebate_Lookup[SKU CODE],Rebate_Lookup[MOQ_3])=0,
H91&lt;_xlfn.XLOOKUP(A91,Rebate_Lookup[SKU CODE],Rebate_Lookup[MOQ_3])
)
),
2,
IF(
OR(
AND(
_xlfn.XLOOKUP(A91,Rebate_Lookup[SKU CODE],Rebate_Lookup[MOQ_4])=0,
H91&gt;=_xlfn.XLOOKUP(A91,Rebate_Lookup[SKU CODE],Rebate_Lookup[MOQ_3])
),
AND(
_xlfn.XLOOKUP(A91,Rebate_Lookup[SKU CODE],Rebate_Lookup[MOQ_4])&gt;0,
H91&gt;=_xlfn.XLOOKUP(A91,Rebate_Lookup[SKU CODE],Rebate_Lookup[MOQ_3]),
H91&lt;_xlfn.XLOOKUP(A91,Rebate_Lookup[SKU CODE],Rebate_Lookup[MOQ_4])
)
),
3,
IF(
AND(
_xlfn.XLOOKUP(A91,Rebate_Lookup[SKU CODE],Rebate_Lookup[MOQ_4])&gt;0,
H91&gt;=_xlfn.XLOOKUP(A91,Rebate_Lookup[SKU CODE],Rebate_Lookup[MOQ_4])
),
4,
1
)
)
)
)
)
)),
PRICING[Standard Use Rate (oz/M)]
),
2
))</f>
        <v>0.03</v>
      </c>
      <c r="U91" s="143">
        <f t="shared" si="31"/>
        <v>1.31</v>
      </c>
      <c r="V91" s="45" t="str">
        <f>IF(AND(TRIM(U91)&lt;&gt;"",TRIM(H91)&lt;&gt;""),ROUND(H91*INDEX(PRICING[Package Ounces],MATCH(A91,PRICING[SKU],0))/U91,2),"")</f>
        <v/>
      </c>
      <c r="W91" s="222">
        <f t="shared" si="32"/>
        <v>0</v>
      </c>
      <c r="X91" s="231">
        <f t="shared" si="33"/>
        <v>0</v>
      </c>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row>
    <row r="92" spans="1:57" ht="18" customHeight="1" thickBot="1" x14ac:dyDescent="0.25">
      <c r="A92" s="174">
        <v>79850980</v>
      </c>
      <c r="B92" s="173" t="b">
        <f t="shared" si="25"/>
        <v>0</v>
      </c>
      <c r="D92" s="243" t="str" cm="1">
        <f t="array" ref="D92">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(PRICING[SKU]=$A92)*
            (
                ((PRICING[Rebate $]&lt;&gt;"")*(PRICING[Rebate $]&lt;&gt;0))
                +
                (
                    (
                        ISNUMBER(SEARCH("*Ronstar*FLO*",PRICING[Product]))+
                        ISNUMBER(SEARCH("Altus*",PRICING[Product]))+
                        ISNUMBER(SEARCH("Kontos*",PRICING[Product]))
                    )*
                    (PRICING[Min Qty]&lt;&gt;0)
                )
            )
        )
    ),
    ""
)</f>
        <v>$25.00 off on 1 unit</v>
      </c>
      <c r="E92" s="215" t="str">
        <f>_xlfn.XLOOKUP(A92, PRICING[SKU], PRICING[Product], "")</f>
        <v>Revolver®</v>
      </c>
      <c r="F92" s="46" t="str">
        <f>_xlfn.XLOOKUP(A92, PRICING[SKU], PRICING[Size], "")</f>
        <v>32 fl oz</v>
      </c>
      <c r="G92" s="178" t="str">
        <f>IF(_xlfn.XLOOKUP(A92,PRICING[SKU],PRICING[Indication])="I","Insecticide",
 IF(_xlfn.XLOOKUP(A92,PRICING[SKU],PRICING[Indication])="H","Herbicide",
 IF(_xlfn.XLOOKUP(A92,PRICING[SKU],PRICING[Indication])="F","Fungicide",
 IF(_xlfn.XLOOKUP(A92,PRICING[SKU],PRICING[Indication])="PGR","PGR",""))))</f>
        <v>Herbicide</v>
      </c>
      <c r="H92" s="109"/>
      <c r="I92" s="192"/>
      <c r="J92" s="118">
        <f>INDEX(PRICING[NOW Price],MATCH(A92,PRICING[SKU],0))</f>
        <v>309.17</v>
      </c>
      <c r="K92" s="118" t="str">
        <f>IF(OR(H92="",O92=""),"",
IF(O92=1,INDEX(Rebate_Lookup[REB_MOQ_1],MATCH(A92,Rebate_Lookup[SKU CODE],0)),
IF(O92=2,INDEX(Rebate_Lookup[REB_MOQ_2],MATCH(A92,Rebate_Lookup[SKU CODE],0)),
IF(O92=3,INDEX(Rebate_Lookup[REB_MOQ_3],MATCH(A92,Rebate_Lookup[SKU CODE],0)),
IF(O92=4,INDEX(Rebate_Lookup[REB_MOQ_4],MATCH(A92,Rebate_Lookup[SKU CODE],0)),
"#err")))))</f>
        <v/>
      </c>
      <c r="L92" s="118" t="str">
        <f t="shared" si="26"/>
        <v/>
      </c>
      <c r="M92" s="119" t="str">
        <f t="shared" si="27"/>
        <v/>
      </c>
      <c r="N92" s="119" t="str">
        <f t="shared" si="28"/>
        <v/>
      </c>
      <c r="O92" s="193" t="str">
        <f>IF(H92="","",INDEX(Rebate_Lookup[Qualified Rebate Tier],MATCH(A92,Rebate_Lookup[SKU CODE],0)))</f>
        <v/>
      </c>
      <c r="P92" s="118" t="str">
        <f t="shared" si="29"/>
        <v/>
      </c>
      <c r="Q92" s="202" t="str">
        <f t="shared" si="30"/>
        <v/>
      </c>
      <c r="R92" s="183"/>
      <c r="S92" s="183"/>
      <c r="T92" s="229" cm="1">
        <f t="array" ref="T92">IF(OR(H92="",H92=0),
ROUND(_xlfn.XLOOKUP(1,(PRICING[SKU]=A92)*(PRICING[Set]=1),PRICING[Standard Use Rate (oz/M)]),2),ROUND(
_xlfn.XLOOKUP(
1,
(PRICING[SKU]=A92)*
(PRICING[Set]=IF(
_xlfn.XLOOKUP(A92,Rebate_Lookup[SKU CODE],Rebate_Lookup[MOQ_2])=0,
1,
IF(
AND(
_xlfn.XLOOKUP(A92,Rebate_Lookup[SKU CODE],Rebate_Lookup[MOQ_3])=0,
H92&gt;=_xlfn.XLOOKUP(A92,Rebate_Lookup[SKU CODE],Rebate_Lookup[MOQ_2])
),
2,
IF(
AND(
H92&gt;=_xlfn.XLOOKUP(A92,Rebate_Lookup[SKU CODE],Rebate_Lookup[MOQ_1]),
H92&lt;_xlfn.XLOOKUP(A92,Rebate_Lookup[SKU CODE],Rebate_Lookup[MOQ_2])
),
1,
IF(
AND(
H92&gt;=_xlfn.XLOOKUP(A92,Rebate_Lookup[SKU CODE],Rebate_Lookup[MOQ_2]),
OR(
_xlfn.XLOOKUP(A92,Rebate_Lookup[SKU CODE],Rebate_Lookup[MOQ_3])=0,
H92&lt;_xlfn.XLOOKUP(A92,Rebate_Lookup[SKU CODE],Rebate_Lookup[MOQ_3])
)
),
2,
IF(
OR(
AND(
_xlfn.XLOOKUP(A92,Rebate_Lookup[SKU CODE],Rebate_Lookup[MOQ_4])=0,
H92&gt;=_xlfn.XLOOKUP(A92,Rebate_Lookup[SKU CODE],Rebate_Lookup[MOQ_3])
),
AND(
_xlfn.XLOOKUP(A92,Rebate_Lookup[SKU CODE],Rebate_Lookup[MOQ_4])&gt;0,
H92&gt;=_xlfn.XLOOKUP(A92,Rebate_Lookup[SKU CODE],Rebate_Lookup[MOQ_3]),
H92&lt;_xlfn.XLOOKUP(A92,Rebate_Lookup[SKU CODE],Rebate_Lookup[MOQ_4])
)
),
3,
IF(
AND(
_xlfn.XLOOKUP(A92,Rebate_Lookup[SKU CODE],Rebate_Lookup[MOQ_4])&gt;0,
H92&gt;=_xlfn.XLOOKUP(A92,Rebate_Lookup[SKU CODE],Rebate_Lookup[MOQ_4])
),
4,
1
)
)
)
)
)
)),
PRICING[Standard Use Rate (oz/M)]
),
2
))</f>
        <v>0.4</v>
      </c>
      <c r="U92" s="143">
        <f t="shared" si="31"/>
        <v>17.420000000000002</v>
      </c>
      <c r="V92" s="45" t="str">
        <f>IF(AND(TRIM(U92)&lt;&gt;"",TRIM(H92)&lt;&gt;""),ROUND(H92*INDEX(PRICING[Package Ounces],MATCH(A92,PRICING[SKU],0))/U92,2),"")</f>
        <v/>
      </c>
      <c r="W92" s="222">
        <f t="shared" si="32"/>
        <v>0</v>
      </c>
      <c r="X92" s="231">
        <f t="shared" si="33"/>
        <v>0</v>
      </c>
      <c r="Y92" s="98"/>
      <c r="Z92" s="98"/>
      <c r="AA92" s="98"/>
      <c r="AB92" s="98"/>
      <c r="AC92" s="98"/>
      <c r="AD92" s="98"/>
      <c r="AE92" s="98"/>
      <c r="AF92" s="98"/>
      <c r="AG92" s="98"/>
      <c r="AH92" s="98"/>
      <c r="AI92" s="98"/>
      <c r="AJ92" s="98"/>
      <c r="AK92" s="98"/>
      <c r="AL92" s="98"/>
      <c r="AM92" s="98"/>
      <c r="AN92" s="98"/>
      <c r="AO92" s="98"/>
      <c r="AP92" s="98"/>
      <c r="AQ92" s="98"/>
      <c r="AR92" s="98"/>
      <c r="AS92" s="98"/>
      <c r="AT92" s="98"/>
      <c r="AU92" s="98"/>
      <c r="AV92" s="98"/>
      <c r="AW92" s="98"/>
      <c r="AX92" s="98"/>
      <c r="AY92" s="98"/>
      <c r="AZ92" s="98"/>
      <c r="BA92" s="98"/>
      <c r="BB92" s="98"/>
      <c r="BC92" s="98"/>
      <c r="BD92" s="98"/>
      <c r="BE92" s="98"/>
    </row>
    <row r="93" spans="1:57" ht="18" customHeight="1" thickBot="1" x14ac:dyDescent="0.25">
      <c r="A93" s="174">
        <v>427709</v>
      </c>
      <c r="B93" s="173" t="b">
        <f t="shared" si="25"/>
        <v>0</v>
      </c>
      <c r="D93" s="243" t="str" cm="1">
        <f t="array" ref="D93">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(PRICING[SKU]=$A93)*
            (
                ((PRICING[Rebate $]&lt;&gt;"")*(PRICING[Rebate $]&lt;&gt;0))
                +
                (
                    (
                        ISNUMBER(SEARCH("*Ronstar*FLO*",PRICING[Product]))+
                        ISNUMBER(SEARCH("Altus*",PRICING[Product]))+
                        ISNUMBER(SEARCH("Kontos*",PRICING[Product]))
                    )*
                    (PRICING[Min Qty]&lt;&gt;0)
                )
            )
        )
    ),
    ""
)</f>
        <v/>
      </c>
      <c r="E93" s="215" t="str">
        <f>_xlfn.XLOOKUP(A93, PRICING[SKU], PRICING[Product], "")</f>
        <v>Sencor 75</v>
      </c>
      <c r="F93" s="46" t="str">
        <f>_xlfn.XLOOKUP(A93, PRICING[SKU], PRICING[Size], "")</f>
        <v>5 lb</v>
      </c>
      <c r="G93" s="178" t="str">
        <f>IF(_xlfn.XLOOKUP(A93,PRICING[SKU],PRICING[Indication])="I","Insecticide",
 IF(_xlfn.XLOOKUP(A93,PRICING[SKU],PRICING[Indication])="H","Herbicide",
 IF(_xlfn.XLOOKUP(A93,PRICING[SKU],PRICING[Indication])="F","Fungicide",
 IF(_xlfn.XLOOKUP(A93,PRICING[SKU],PRICING[Indication])="PGR","PGR",""))))</f>
        <v>Herbicide</v>
      </c>
      <c r="H93" s="109"/>
      <c r="I93" s="192"/>
      <c r="J93" s="118">
        <f>INDEX(PRICING[NOW Price],MATCH(A93,PRICING[SKU],0))</f>
        <v>579.44000000000005</v>
      </c>
      <c r="K93" s="118" t="str">
        <f>IF(OR(H93="",O93=""),"",
IF(O93=1,INDEX(Rebate_Lookup[REB_MOQ_1],MATCH(A93,Rebate_Lookup[SKU CODE],0)),
IF(O93=2,INDEX(Rebate_Lookup[REB_MOQ_2],MATCH(A93,Rebate_Lookup[SKU CODE],0)),
IF(O93=3,INDEX(Rebate_Lookup[REB_MOQ_3],MATCH(A93,Rebate_Lookup[SKU CODE],0)),
IF(O93=4,INDEX(Rebate_Lookup[REB_MOQ_4],MATCH(A93,Rebate_Lookup[SKU CODE],0)),
"#err")))))</f>
        <v/>
      </c>
      <c r="L93" s="118" t="str">
        <f t="shared" si="26"/>
        <v/>
      </c>
      <c r="M93" s="119" t="str">
        <f t="shared" si="27"/>
        <v/>
      </c>
      <c r="N93" s="119" t="str">
        <f t="shared" si="28"/>
        <v/>
      </c>
      <c r="O93" s="193" t="str">
        <f>IF(H93="","",INDEX(Rebate_Lookup[Qualified Rebate Tier],MATCH(A93,Rebate_Lookup[SKU CODE],0)))</f>
        <v/>
      </c>
      <c r="P93" s="118" t="str">
        <f t="shared" si="29"/>
        <v/>
      </c>
      <c r="Q93" s="202" t="str">
        <f t="shared" si="30"/>
        <v/>
      </c>
      <c r="R93" s="183"/>
      <c r="S93" s="183"/>
      <c r="T93" s="229" cm="1">
        <f t="array" ref="T93">IF(OR(H93="",H93=0),
ROUND(_xlfn.XLOOKUP(1,(PRICING[SKU]=A93)*(PRICING[Set]=1),PRICING[Standard Use Rate (oz/M)]),2),ROUND(
_xlfn.XLOOKUP(
1,
(PRICING[SKU]=A93)*
(PRICING[Set]=IF(
_xlfn.XLOOKUP(A93,Rebate_Lookup[SKU CODE],Rebate_Lookup[MOQ_2])=0,
1,
IF(
AND(
_xlfn.XLOOKUP(A93,Rebate_Lookup[SKU CODE],Rebate_Lookup[MOQ_3])=0,
H93&gt;=_xlfn.XLOOKUP(A93,Rebate_Lookup[SKU CODE],Rebate_Lookup[MOQ_2])
),
2,
IF(
AND(
H93&gt;=_xlfn.XLOOKUP(A93,Rebate_Lookup[SKU CODE],Rebate_Lookup[MOQ_1]),
H93&lt;_xlfn.XLOOKUP(A93,Rebate_Lookup[SKU CODE],Rebate_Lookup[MOQ_2])
),
1,
IF(
AND(
H93&gt;=_xlfn.XLOOKUP(A93,Rebate_Lookup[SKU CODE],Rebate_Lookup[MOQ_2]),
OR(
_xlfn.XLOOKUP(A93,Rebate_Lookup[SKU CODE],Rebate_Lookup[MOQ_3])=0,
H93&lt;_xlfn.XLOOKUP(A93,Rebate_Lookup[SKU CODE],Rebate_Lookup[MOQ_3])
)
),
2,
IF(
OR(
AND(
_xlfn.XLOOKUP(A93,Rebate_Lookup[SKU CODE],Rebate_Lookup[MOQ_4])=0,
H93&gt;=_xlfn.XLOOKUP(A93,Rebate_Lookup[SKU CODE],Rebate_Lookup[MOQ_3])
),
AND(
_xlfn.XLOOKUP(A93,Rebate_Lookup[SKU CODE],Rebate_Lookup[MOQ_4])&gt;0,
H93&gt;=_xlfn.XLOOKUP(A93,Rebate_Lookup[SKU CODE],Rebate_Lookup[MOQ_3]),
H93&lt;_xlfn.XLOOKUP(A93,Rebate_Lookup[SKU CODE],Rebate_Lookup[MOQ_4])
)
),
3,
IF(
AND(
_xlfn.XLOOKUP(A93,Rebate_Lookup[SKU CODE],Rebate_Lookup[MOQ_4])&gt;0,
H93&gt;=_xlfn.XLOOKUP(A93,Rebate_Lookup[SKU CODE],Rebate_Lookup[MOQ_4])
),
4,
1
)
)
)
)
)
)),
PRICING[Standard Use Rate (oz/M)]
),
2
))</f>
        <v>0.24</v>
      </c>
      <c r="U93" s="143">
        <f t="shared" si="31"/>
        <v>10.45</v>
      </c>
      <c r="V93" s="45" t="str">
        <f>IF(AND(TRIM(U93)&lt;&gt;"",TRIM(H93)&lt;&gt;""),ROUND(H93*INDEX(PRICING[Package Ounces],MATCH(A93,PRICING[SKU],0))/U93,2),"")</f>
        <v/>
      </c>
      <c r="W93" s="222">
        <f t="shared" si="32"/>
        <v>0</v>
      </c>
      <c r="X93" s="231">
        <f t="shared" si="33"/>
        <v>0</v>
      </c>
      <c r="Y93" s="98"/>
      <c r="Z93" s="98"/>
      <c r="AA93" s="98"/>
      <c r="AB93" s="98"/>
      <c r="AC93" s="98"/>
      <c r="AD93" s="98"/>
      <c r="AE93" s="98"/>
      <c r="AF93" s="98"/>
      <c r="AG93" s="98"/>
      <c r="AH93" s="98"/>
      <c r="AI93" s="98"/>
      <c r="AJ93" s="98"/>
      <c r="AK93" s="98"/>
      <c r="AL93" s="98"/>
      <c r="AM93" s="98"/>
      <c r="AN93" s="98"/>
      <c r="AO93" s="98"/>
      <c r="AP93" s="98"/>
      <c r="AQ93" s="98"/>
      <c r="AR93" s="98"/>
      <c r="AS93" s="98"/>
      <c r="AT93" s="98"/>
      <c r="AU93" s="98"/>
      <c r="AV93" s="98"/>
      <c r="AW93" s="98"/>
      <c r="AX93" s="98"/>
      <c r="AY93" s="98"/>
      <c r="AZ93" s="98"/>
      <c r="BA93" s="98"/>
      <c r="BB93" s="98"/>
      <c r="BC93" s="98"/>
      <c r="BD93" s="98"/>
      <c r="BE93" s="98"/>
    </row>
    <row r="94" spans="1:57" ht="18" customHeight="1" thickBot="1" x14ac:dyDescent="0.25">
      <c r="A94" s="174">
        <v>11008482</v>
      </c>
      <c r="B94" s="173" t="b">
        <f t="shared" si="25"/>
        <v>0</v>
      </c>
      <c r="D94" s="243" t="str" cm="1">
        <f t="array" ref="D94">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(PRICING[SKU]=$A94)*
            (
                ((PRICING[Rebate $]&lt;&gt;"")*(PRICING[Rebate $]&lt;&gt;0))
                +
                (
                    (
                        ISNUMBER(SEARCH("*Ronstar*FLO*",PRICING[Product]))+
                        ISNUMBER(SEARCH("Altus*",PRICING[Product]))+
                        ISNUMBER(SEARCH("Kontos*",PRICING[Product]))
                    )*
                    (PRICING[Min Qty]&lt;&gt;0)
                )
            )
        )
    ),
    ""
)</f>
        <v>$8.00 off on 1 unit</v>
      </c>
      <c r="E94" s="215" t="str">
        <f>_xlfn.XLOOKUP(A94, PRICING[SKU], PRICING[Product], "")</f>
        <v xml:space="preserve">Solitare® Herbicide </v>
      </c>
      <c r="F94" s="46" t="str">
        <f>_xlfn.XLOOKUP(A94, PRICING[SKU], PRICING[Size], "")</f>
        <v xml:space="preserve">1 lb </v>
      </c>
      <c r="G94" s="178" t="str">
        <f>IF(_xlfn.XLOOKUP(A94,PRICING[SKU],PRICING[Indication])="I","Insecticide",
 IF(_xlfn.XLOOKUP(A94,PRICING[SKU],PRICING[Indication])="H","Herbicide",
 IF(_xlfn.XLOOKUP(A94,PRICING[SKU],PRICING[Indication])="F","Fungicide",
 IF(_xlfn.XLOOKUP(A94,PRICING[SKU],PRICING[Indication])="PGR","PGR",""))))</f>
        <v>Herbicide</v>
      </c>
      <c r="H94" s="109"/>
      <c r="I94" s="192"/>
      <c r="J94" s="118">
        <f>INDEX(PRICING[NOW Price],MATCH(A94,PRICING[SKU],0))</f>
        <v>164.73</v>
      </c>
      <c r="K94" s="118" t="str">
        <f>IF(OR(H94="",O94=""),"",
IF(O94=1,INDEX(Rebate_Lookup[REB_MOQ_1],MATCH(A94,Rebate_Lookup[SKU CODE],0)),
IF(O94=2,INDEX(Rebate_Lookup[REB_MOQ_2],MATCH(A94,Rebate_Lookup[SKU CODE],0)),
IF(O94=3,INDEX(Rebate_Lookup[REB_MOQ_3],MATCH(A94,Rebate_Lookup[SKU CODE],0)),
IF(O94=4,INDEX(Rebate_Lookup[REB_MOQ_4],MATCH(A94,Rebate_Lookup[SKU CODE],0)),
"#err")))))</f>
        <v/>
      </c>
      <c r="L94" s="118" t="str">
        <f t="shared" si="26"/>
        <v/>
      </c>
      <c r="M94" s="119" t="str">
        <f t="shared" si="27"/>
        <v/>
      </c>
      <c r="N94" s="119" t="str">
        <f t="shared" si="28"/>
        <v/>
      </c>
      <c r="O94" s="193" t="str">
        <f>IF(H94="","",INDEX(Rebate_Lookup[Qualified Rebate Tier],MATCH(A94,Rebate_Lookup[SKU CODE],0)))</f>
        <v/>
      </c>
      <c r="P94" s="118" t="str">
        <f t="shared" si="29"/>
        <v/>
      </c>
      <c r="Q94" s="202" t="str">
        <f t="shared" si="30"/>
        <v/>
      </c>
      <c r="R94" s="183"/>
      <c r="S94" s="183"/>
      <c r="T94" s="229" cm="1">
        <f t="array" ref="T94">IF(OR(H94="",H94=0),
ROUND(_xlfn.XLOOKUP(1,(PRICING[SKU]=A94)*(PRICING[Set]=1),PRICING[Standard Use Rate (oz/M)]),2),ROUND(
_xlfn.XLOOKUP(
1,
(PRICING[SKU]=A94)*
(PRICING[Set]=IF(
_xlfn.XLOOKUP(A94,Rebate_Lookup[SKU CODE],Rebate_Lookup[MOQ_2])=0,
1,
IF(
AND(
_xlfn.XLOOKUP(A94,Rebate_Lookup[SKU CODE],Rebate_Lookup[MOQ_3])=0,
H94&gt;=_xlfn.XLOOKUP(A94,Rebate_Lookup[SKU CODE],Rebate_Lookup[MOQ_2])
),
2,
IF(
AND(
H94&gt;=_xlfn.XLOOKUP(A94,Rebate_Lookup[SKU CODE],Rebate_Lookup[MOQ_1]),
H94&lt;_xlfn.XLOOKUP(A94,Rebate_Lookup[SKU CODE],Rebate_Lookup[MOQ_2])
),
1,
IF(
AND(
H94&gt;=_xlfn.XLOOKUP(A94,Rebate_Lookup[SKU CODE],Rebate_Lookup[MOQ_2]),
OR(
_xlfn.XLOOKUP(A94,Rebate_Lookup[SKU CODE],Rebate_Lookup[MOQ_3])=0,
H94&lt;_xlfn.XLOOKUP(A94,Rebate_Lookup[SKU CODE],Rebate_Lookup[MOQ_3])
)
),
2,
IF(
OR(
AND(
_xlfn.XLOOKUP(A94,Rebate_Lookup[SKU CODE],Rebate_Lookup[MOQ_4])=0,
H94&gt;=_xlfn.XLOOKUP(A94,Rebate_Lookup[SKU CODE],Rebate_Lookup[MOQ_3])
),
AND(
_xlfn.XLOOKUP(A94,Rebate_Lookup[SKU CODE],Rebate_Lookup[MOQ_4])&gt;0,
H94&gt;=_xlfn.XLOOKUP(A94,Rebate_Lookup[SKU CODE],Rebate_Lookup[MOQ_3]),
H94&lt;_xlfn.XLOOKUP(A94,Rebate_Lookup[SKU CODE],Rebate_Lookup[MOQ_4])
)
),
3,
IF(
AND(
_xlfn.XLOOKUP(A94,Rebate_Lookup[SKU CODE],Rebate_Lookup[MOQ_4])&gt;0,
H94&gt;=_xlfn.XLOOKUP(A94,Rebate_Lookup[SKU CODE],Rebate_Lookup[MOQ_4])
),
4,
1
)
)
)
)
)
)),
PRICING[Standard Use Rate (oz/M)]
),
2
))</f>
        <v>2</v>
      </c>
      <c r="U94" s="143">
        <f t="shared" si="31"/>
        <v>87.12</v>
      </c>
      <c r="V94" s="45" t="str">
        <f>IF(AND(TRIM(U94)&lt;&gt;"",TRIM(H94)&lt;&gt;""),ROUND(H94*INDEX(PRICING[Package Ounces],MATCH(A94,PRICING[SKU],0))/U94,2),"")</f>
        <v/>
      </c>
      <c r="W94" s="222">
        <f t="shared" si="32"/>
        <v>0</v>
      </c>
      <c r="X94" s="231">
        <f t="shared" si="33"/>
        <v>0</v>
      </c>
      <c r="Y94" s="98"/>
      <c r="Z94" s="98"/>
      <c r="AA94" s="98"/>
      <c r="AB94" s="98"/>
      <c r="AC94" s="98"/>
      <c r="AD94" s="98"/>
      <c r="AE94" s="98"/>
      <c r="AF94" s="98"/>
      <c r="AG94" s="98"/>
      <c r="AH94" s="98"/>
      <c r="AI94" s="98"/>
      <c r="AJ94" s="98"/>
      <c r="AK94" s="98"/>
      <c r="AL94" s="98"/>
      <c r="AM94" s="98"/>
      <c r="AN94" s="98"/>
      <c r="AO94" s="98"/>
      <c r="AP94" s="98"/>
      <c r="AQ94" s="98"/>
      <c r="AR94" s="98"/>
      <c r="AS94" s="98"/>
      <c r="AT94" s="98"/>
      <c r="AU94" s="98"/>
      <c r="AV94" s="98"/>
      <c r="AW94" s="98"/>
      <c r="AX94" s="98"/>
      <c r="AY94" s="98"/>
      <c r="AZ94" s="98"/>
      <c r="BA94" s="98"/>
      <c r="BB94" s="98"/>
      <c r="BC94" s="98"/>
      <c r="BD94" s="98"/>
      <c r="BE94" s="98"/>
    </row>
    <row r="95" spans="1:57" ht="18" customHeight="1" thickBot="1" x14ac:dyDescent="0.25">
      <c r="A95" s="174">
        <v>11008369</v>
      </c>
      <c r="B95" s="173" t="b">
        <f t="shared" si="25"/>
        <v>0</v>
      </c>
      <c r="D95" s="243" t="str" cm="1">
        <f t="array" ref="D95">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(PRICING[SKU]=$A95)*
            (
                ((PRICING[Rebate $]&lt;&gt;"")*(PRICING[Rebate $]&lt;&gt;0))
                +
                (
                    (
                        ISNUMBER(SEARCH("*Ronstar*FLO*",PRICING[Product]))+
                        ISNUMBER(SEARCH("Altus*",PRICING[Product]))+
                        ISNUMBER(SEARCH("Kontos*",PRICING[Product]))
                    )*
                    (PRICING[Min Qty]&lt;&gt;0)
                )
            )
        )
    ),
    ""
)</f>
        <v>$8.00 off on 1 unit</v>
      </c>
      <c r="E95" s="215" t="str">
        <f>_xlfn.XLOOKUP(A95, PRICING[SKU], PRICING[Product], "")</f>
        <v>Solitare® WSL Herbicide</v>
      </c>
      <c r="F95" s="46" t="str">
        <f>_xlfn.XLOOKUP(A95, PRICING[SKU], PRICING[Size], "")</f>
        <v xml:space="preserve">0.75 gal </v>
      </c>
      <c r="G95" s="178" t="str">
        <f>IF(_xlfn.XLOOKUP(A95,PRICING[SKU],PRICING[Indication])="I","Insecticide",
 IF(_xlfn.XLOOKUP(A95,PRICING[SKU],PRICING[Indication])="H","Herbicide",
 IF(_xlfn.XLOOKUP(A95,PRICING[SKU],PRICING[Indication])="F","Fungicide",
 IF(_xlfn.XLOOKUP(A95,PRICING[SKU],PRICING[Indication])="PGR","PGR",""))))</f>
        <v>Herbicide</v>
      </c>
      <c r="H95" s="109"/>
      <c r="I95" s="192"/>
      <c r="J95" s="118">
        <f>INDEX(PRICING[NOW Price],MATCH(A95,PRICING[SKU],0))</f>
        <v>97.96</v>
      </c>
      <c r="K95" s="118" t="str">
        <f>IF(OR(H95="",O95=""),"",
IF(O95=1,INDEX(Rebate_Lookup[REB_MOQ_1],MATCH(A95,Rebate_Lookup[SKU CODE],0)),
IF(O95=2,INDEX(Rebate_Lookup[REB_MOQ_2],MATCH(A95,Rebate_Lookup[SKU CODE],0)),
IF(O95=3,INDEX(Rebate_Lookup[REB_MOQ_3],MATCH(A95,Rebate_Lookup[SKU CODE],0)),
IF(O95=4,INDEX(Rebate_Lookup[REB_MOQ_4],MATCH(A95,Rebate_Lookup[SKU CODE],0)),
"#err")))))</f>
        <v/>
      </c>
      <c r="L95" s="118" t="str">
        <f t="shared" si="26"/>
        <v/>
      </c>
      <c r="M95" s="119" t="str">
        <f t="shared" si="27"/>
        <v/>
      </c>
      <c r="N95" s="119" t="str">
        <f t="shared" si="28"/>
        <v/>
      </c>
      <c r="O95" s="193" t="str">
        <f>IF(H95="","",INDEX(Rebate_Lookup[Qualified Rebate Tier],MATCH(A95,Rebate_Lookup[SKU CODE],0)))</f>
        <v/>
      </c>
      <c r="P95" s="118" t="str">
        <f t="shared" si="29"/>
        <v/>
      </c>
      <c r="Q95" s="202" t="str">
        <f t="shared" si="30"/>
        <v/>
      </c>
      <c r="R95" s="183"/>
      <c r="S95" s="183"/>
      <c r="T95" s="229" cm="1">
        <f t="array" ref="T95">IF(OR(H95="",H95=0),
ROUND(_xlfn.XLOOKUP(1,(PRICING[SKU]=A95)*(PRICING[Set]=1),PRICING[Standard Use Rate (oz/M)]),2),ROUND(
_xlfn.XLOOKUP(
1,
(PRICING[SKU]=A95)*
(PRICING[Set]=IF(
_xlfn.XLOOKUP(A95,Rebate_Lookup[SKU CODE],Rebate_Lookup[MOQ_2])=0,
1,
IF(
AND(
_xlfn.XLOOKUP(A95,Rebate_Lookup[SKU CODE],Rebate_Lookup[MOQ_3])=0,
H95&gt;=_xlfn.XLOOKUP(A95,Rebate_Lookup[SKU CODE],Rebate_Lookup[MOQ_2])
),
2,
IF(
AND(
H95&gt;=_xlfn.XLOOKUP(A95,Rebate_Lookup[SKU CODE],Rebate_Lookup[MOQ_1]),
H95&lt;_xlfn.XLOOKUP(A95,Rebate_Lookup[SKU CODE],Rebate_Lookup[MOQ_2])
),
1,
IF(
AND(
H95&gt;=_xlfn.XLOOKUP(A95,Rebate_Lookup[SKU CODE],Rebate_Lookup[MOQ_2]),
OR(
_xlfn.XLOOKUP(A95,Rebate_Lookup[SKU CODE],Rebate_Lookup[MOQ_3])=0,
H95&lt;_xlfn.XLOOKUP(A95,Rebate_Lookup[SKU CODE],Rebate_Lookup[MOQ_3])
)
),
2,
IF(
OR(
AND(
_xlfn.XLOOKUP(A95,Rebate_Lookup[SKU CODE],Rebate_Lookup[MOQ_4])=0,
H95&gt;=_xlfn.XLOOKUP(A95,Rebate_Lookup[SKU CODE],Rebate_Lookup[MOQ_3])
),
AND(
_xlfn.XLOOKUP(A95,Rebate_Lookup[SKU CODE],Rebate_Lookup[MOQ_4])&gt;0,
H95&gt;=_xlfn.XLOOKUP(A95,Rebate_Lookup[SKU CODE],Rebate_Lookup[MOQ_3]),
H95&lt;_xlfn.XLOOKUP(A95,Rebate_Lookup[SKU CODE],Rebate_Lookup[MOQ_4])
)
),
3,
IF(
AND(
_xlfn.XLOOKUP(A95,Rebate_Lookup[SKU CODE],Rebate_Lookup[MOQ_4])&gt;0,
H95&gt;=_xlfn.XLOOKUP(A95,Rebate_Lookup[SKU CODE],Rebate_Lookup[MOQ_4])
),
4,
1
)
)
)
)
)
)),
PRICING[Standard Use Rate (oz/M)]
),
2
))</f>
        <v>3.97</v>
      </c>
      <c r="U95" s="143">
        <f t="shared" si="31"/>
        <v>172.93</v>
      </c>
      <c r="V95" s="45" t="str">
        <f>IF(AND(TRIM(U95)&lt;&gt;"",TRIM(H95)&lt;&gt;""),ROUND(H95*INDEX(PRICING[Package Ounces],MATCH(A95,PRICING[SKU],0))/U95,2),"")</f>
        <v/>
      </c>
      <c r="W95" s="222">
        <f t="shared" si="32"/>
        <v>0</v>
      </c>
      <c r="X95" s="231">
        <f t="shared" si="33"/>
        <v>0</v>
      </c>
      <c r="Y95" s="98"/>
      <c r="Z95" s="98"/>
      <c r="AA95" s="98"/>
      <c r="AB95" s="98"/>
      <c r="AC95" s="98"/>
      <c r="AD95" s="98"/>
      <c r="AE95" s="98"/>
      <c r="AF95" s="98"/>
      <c r="AG95" s="98"/>
      <c r="AH95" s="98"/>
      <c r="AI95" s="98"/>
      <c r="AJ95" s="98"/>
      <c r="AK95" s="98"/>
      <c r="AL95" s="98"/>
      <c r="AM95" s="98"/>
      <c r="AN95" s="98"/>
      <c r="AO95" s="98"/>
      <c r="AP95" s="98"/>
      <c r="AQ95" s="98"/>
      <c r="AR95" s="98"/>
      <c r="AS95" s="98"/>
      <c r="AT95" s="98"/>
      <c r="AU95" s="98"/>
      <c r="AV95" s="98"/>
      <c r="AW95" s="98"/>
      <c r="AX95" s="98"/>
      <c r="AY95" s="98"/>
      <c r="AZ95" s="98"/>
      <c r="BA95" s="98"/>
      <c r="BB95" s="98"/>
      <c r="BC95" s="98"/>
      <c r="BD95" s="98"/>
      <c r="BE95" s="98"/>
    </row>
    <row r="96" spans="1:57" ht="18" customHeight="1" thickBot="1" x14ac:dyDescent="0.25">
      <c r="A96" s="296">
        <v>11008457</v>
      </c>
      <c r="B96" s="173" t="b">
        <f t="shared" si="25"/>
        <v>0</v>
      </c>
      <c r="D96" s="243" t="str" cm="1">
        <f t="array" ref="D96">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(PRICING[SKU]=$A96)*
            (
                ((PRICING[Rebate $]&lt;&gt;"")*(PRICING[Rebate $]&lt;&gt;0))
                +
                (
                    (
                        ISNUMBER(SEARCH("*Ronstar*FLO*",PRICING[Product]))+
                        ISNUMBER(SEARCH("Altus*",PRICING[Product]))+
                        ISNUMBER(SEARCH("Kontos*",PRICING[Product]))
                    )*
                    (PRICING[Min Qty]&lt;&gt;0)
                )
            )
        )
    ),
    ""
)</f>
        <v>$6.00 off on 1 unit</v>
      </c>
      <c r="E96" s="215" t="str">
        <f>_xlfn.XLOOKUP(A96, PRICING[SKU], PRICING[Product], "")</f>
        <v xml:space="preserve">Talstar® Select Insecticide (RUP) </v>
      </c>
      <c r="F96" s="46" t="str">
        <f>_xlfn.XLOOKUP(A96, PRICING[SKU], PRICING[Size], "")</f>
        <v>1 gal</v>
      </c>
      <c r="G96" s="178" t="str">
        <f>IF(_xlfn.XLOOKUP(A96,PRICING[SKU],PRICING[Indication])="I","Insecticide",
 IF(_xlfn.XLOOKUP(A96,PRICING[SKU],PRICING[Indication])="H","Herbicide",
 IF(_xlfn.XLOOKUP(A96,PRICING[SKU],PRICING[Indication])="F","Fungicide",
 IF(_xlfn.XLOOKUP(A96,PRICING[SKU],PRICING[Indication])="PGR","PGR",""))))</f>
        <v>Insecticide</v>
      </c>
      <c r="H96" s="109"/>
      <c r="I96" s="192"/>
      <c r="J96" s="118">
        <f>INDEX(PRICING[NOW Price],MATCH(A96,PRICING[SKU],0))</f>
        <v>51.61</v>
      </c>
      <c r="K96" s="118" t="str">
        <f>IF(OR(H96="",O96=""),"",
IF(O96=1,INDEX(Rebate_Lookup[REB_MOQ_1],MATCH(A96,Rebate_Lookup[SKU CODE],0)),
IF(O96=2,INDEX(Rebate_Lookup[REB_MOQ_2],MATCH(A96,Rebate_Lookup[SKU CODE],0)),
IF(O96=3,INDEX(Rebate_Lookup[REB_MOQ_3],MATCH(A96,Rebate_Lookup[SKU CODE],0)),
IF(O96=4,INDEX(Rebate_Lookup[REB_MOQ_4],MATCH(A96,Rebate_Lookup[SKU CODE],0)),
"#err")))))</f>
        <v/>
      </c>
      <c r="L96" s="118" t="str">
        <f t="shared" ref="L96" si="34">IF(H96*I96= 0,"",ROUND(H96*I96,2))</f>
        <v/>
      </c>
      <c r="M96" s="119" t="str">
        <f t="shared" ref="M96" si="35">IF(OR(H96=0,J96=""),"", H96*J96)</f>
        <v/>
      </c>
      <c r="N96" s="119" t="str">
        <f t="shared" ref="N96" si="36">IF(OR(H96=0,H96=""),"",M96)</f>
        <v/>
      </c>
      <c r="O96" s="193" t="str">
        <f>IF(H96="","",INDEX(Rebate_Lookup[Qualified Rebate Tier],MATCH(A96,Rebate_Lookup[SKU CODE],0)))</f>
        <v/>
      </c>
      <c r="P96" s="118" t="str">
        <f t="shared" ref="P96" si="37">IF(
    K96="",
    IF(OR(H96=0,H96=""),"",L96),
    IF(OR(H96=0,H96=""),"",ROUND((I96-K96)*H96,2))
)</f>
        <v/>
      </c>
      <c r="Q96" s="202" t="str">
        <f t="shared" ref="Q96" si="38">IF(OR(ISBLANK(H96),ISBLANK(I96)),"",ROUND(P96/H96,2))</f>
        <v/>
      </c>
      <c r="R96" s="183"/>
      <c r="S96" s="183"/>
      <c r="T96" s="229" cm="1">
        <f t="array" ref="T96">IF(OR(H96="",H96=0),
ROUND(_xlfn.XLOOKUP(1,(PRICING[SKU]=A96)*(PRICING[Set]=1),PRICING[Standard Use Rate (oz/M)]),2),ROUND(
_xlfn.XLOOKUP(
1,
(PRICING[SKU]=A96)*
(PRICING[Set]=IF(
_xlfn.XLOOKUP(A96,Rebate_Lookup[SKU CODE],Rebate_Lookup[MOQ_2])=0,
1,
IF(
AND(
_xlfn.XLOOKUP(A96,Rebate_Lookup[SKU CODE],Rebate_Lookup[MOQ_3])=0,
H96&gt;=_xlfn.XLOOKUP(A96,Rebate_Lookup[SKU CODE],Rebate_Lookup[MOQ_2])
),
2,
IF(
AND(
H96&gt;=_xlfn.XLOOKUP(A96,Rebate_Lookup[SKU CODE],Rebate_Lookup[MOQ_1]),
H96&lt;_xlfn.XLOOKUP(A96,Rebate_Lookup[SKU CODE],Rebate_Lookup[MOQ_2])
),
1,
IF(
AND(
H96&gt;=_xlfn.XLOOKUP(A96,Rebate_Lookup[SKU CODE],Rebate_Lookup[MOQ_2]),
OR(
_xlfn.XLOOKUP(A96,Rebate_Lookup[SKU CODE],Rebate_Lookup[MOQ_3])=0,
H96&lt;_xlfn.XLOOKUP(A96,Rebate_Lookup[SKU CODE],Rebate_Lookup[MOQ_3])
)
),
2,
IF(
OR(
AND(
_xlfn.XLOOKUP(A96,Rebate_Lookup[SKU CODE],Rebate_Lookup[MOQ_4])=0,
H96&gt;=_xlfn.XLOOKUP(A96,Rebate_Lookup[SKU CODE],Rebate_Lookup[MOQ_3])
),
AND(
_xlfn.XLOOKUP(A96,Rebate_Lookup[SKU CODE],Rebate_Lookup[MOQ_4])&gt;0,
H96&gt;=_xlfn.XLOOKUP(A96,Rebate_Lookup[SKU CODE],Rebate_Lookup[MOQ_3]),
H96&lt;_xlfn.XLOOKUP(A96,Rebate_Lookup[SKU CODE],Rebate_Lookup[MOQ_4])
)
),
3,
IF(
AND(
_xlfn.XLOOKUP(A96,Rebate_Lookup[SKU CODE],Rebate_Lookup[MOQ_4])&gt;0,
H96&gt;=_xlfn.XLOOKUP(A96,Rebate_Lookup[SKU CODE],Rebate_Lookup[MOQ_4])
),
4,
1
)
)
)
)
)
)),
PRICING[Standard Use Rate (oz/M)]
),
2
))</f>
        <v>0.46</v>
      </c>
      <c r="U96" s="143">
        <f t="shared" ref="U96" si="39">ROUND(T96*43.56,2)</f>
        <v>20.04</v>
      </c>
      <c r="V96" s="45" t="str">
        <f>IF(AND(TRIM(U96)&lt;&gt;"",TRIM(H96)&lt;&gt;""),ROUND(H96*INDEX(PRICING[Package Ounces],MATCH(A96,PRICING[SKU],0))/U96,2),"")</f>
        <v/>
      </c>
      <c r="W96" s="222">
        <f t="shared" ref="W96" si="40">IF(H96&lt;&gt;0,ROUND(P96/V96,2),0)</f>
        <v>0</v>
      </c>
      <c r="X96" s="231">
        <f t="shared" ref="X96" si="41">ROUND(W96/43.56,2)</f>
        <v>0</v>
      </c>
      <c r="Y96" s="98"/>
      <c r="Z96" s="98"/>
      <c r="AA96" s="98"/>
      <c r="AB96" s="98"/>
      <c r="AC96" s="98"/>
      <c r="AD96" s="98"/>
      <c r="AE96" s="98"/>
      <c r="AF96" s="98"/>
      <c r="AG96" s="98"/>
      <c r="AH96" s="98"/>
      <c r="AI96" s="98"/>
      <c r="AJ96" s="98"/>
      <c r="AK96" s="98"/>
      <c r="AL96" s="98"/>
      <c r="AM96" s="98"/>
      <c r="AN96" s="98"/>
      <c r="AO96" s="98"/>
      <c r="AP96" s="98"/>
      <c r="AQ96" s="98"/>
      <c r="AR96" s="98"/>
      <c r="AS96" s="98"/>
      <c r="AT96" s="98"/>
      <c r="AU96" s="98"/>
      <c r="AV96" s="98"/>
      <c r="AW96" s="98"/>
      <c r="AX96" s="98"/>
      <c r="AY96" s="98"/>
      <c r="AZ96" s="98"/>
      <c r="BA96" s="98"/>
      <c r="BB96" s="98"/>
      <c r="BC96" s="98"/>
      <c r="BD96" s="98"/>
      <c r="BE96" s="98"/>
    </row>
    <row r="97" spans="1:59" ht="18" customHeight="1" thickBot="1" x14ac:dyDescent="0.25">
      <c r="A97" s="176" t="s">
        <v>98</v>
      </c>
      <c r="B97" s="173" t="b">
        <f t="shared" si="25"/>
        <v>0</v>
      </c>
      <c r="D97" s="244" t="str" cm="1">
        <f t="array" ref="D97">IFERROR(
    _xlfn.TEXTJOIN(
        "; ",
        TRUE,
        _xlfn._xlws.FILTER(
            IF(
                ISNUMBER(SEARCH("*Ronstar*FLO*",PRICING[Product]))+
                ISNUMBER(SEARCH("Altus*",PRICING[Product]))+
                ISNUMBER(SEARCH("Kontos*",PRICING[Product])),
                IF(
                    (PRICING[Min Qty]="")+(PRICING[Min Qty]=0),
                    "1 unit",
                    PRICING[Min Qty]&amp;" units"
                ),
                TEXT(PRICING[Rebate $],"$#,##0.00")&amp;
                " off on "&amp;
                IF(
                    (PRICING[Min Qty]="")+(PRICING[Min Qty]=0),
                    "1 unit",
                    PRICING[Min Qty]&amp;" units"
                )
            ),
            (PRICING[SKU]=$A97)*
            (
                ((PRICING[Rebate $]&lt;&gt;"")*(PRICING[Rebate $]&lt;&gt;0))
                +
                (
                    (
                        ISNUMBER(SEARCH("*Ronstar*FLO*",PRICING[Product]))+
                        ISNUMBER(SEARCH("Altus*",PRICING[Product]))+
                        ISNUMBER(SEARCH("Kontos*",PRICING[Product]))
                    )*
                    (PRICING[Min Qty]&lt;&gt;0)
                )
            )
        )
    ),
    ""
)</f>
        <v>$2.00 off on 1 unit</v>
      </c>
      <c r="E97" s="216" t="str">
        <f>_xlfn.XLOOKUP(A97, PRICING[SKU], PRICING[Product], "")</f>
        <v>TopChoice®</v>
      </c>
      <c r="F97" s="205" t="str">
        <f>_xlfn.XLOOKUP(A97, PRICING[SKU], PRICING[Size], "")</f>
        <v>50 lb</v>
      </c>
      <c r="G97" s="232" t="str">
        <f>IF(_xlfn.XLOOKUP(A97,PRICING[SKU],PRICING[Indication])="I","Insecticide",
 IF(_xlfn.XLOOKUP(A97,PRICING[SKU],PRICING[Indication])="H","Herbicide",
 IF(_xlfn.XLOOKUP(A97,PRICING[SKU],PRICING[Indication])="F","Fungicide",
 IF(_xlfn.XLOOKUP(A97,PRICING[SKU],PRICING[Indication])="PGR","PGR",""))))</f>
        <v>Insecticide</v>
      </c>
      <c r="H97" s="233"/>
      <c r="I97" s="234"/>
      <c r="J97" s="235">
        <f>INDEX(PRICING[NOW Price],MATCH(A97,PRICING[SKU],0))</f>
        <v>64.77</v>
      </c>
      <c r="K97" s="235" t="str">
        <f>IF(OR(H97="",O97=""),"",
IF(O97=1,INDEX(Rebate_Lookup[REB_MOQ_1],MATCH(A97,Rebate_Lookup[SKU CODE],0)),
IF(O97=2,INDEX(Rebate_Lookup[REB_MOQ_2],MATCH(A97,Rebate_Lookup[SKU CODE],0)),
IF(O97=3,INDEX(Rebate_Lookup[REB_MOQ_3],MATCH(A97,Rebate_Lookup[SKU CODE],0)),
IF(O97=4,INDEX(Rebate_Lookup[REB_MOQ_4],MATCH(A97,Rebate_Lookup[SKU CODE],0)),
"#err")))))</f>
        <v/>
      </c>
      <c r="L97" s="235" t="str">
        <f t="shared" si="26"/>
        <v/>
      </c>
      <c r="M97" s="236" t="str">
        <f t="shared" si="27"/>
        <v/>
      </c>
      <c r="N97" s="236" t="str">
        <f t="shared" si="28"/>
        <v/>
      </c>
      <c r="O97" s="237" t="str">
        <f>IF(H97="","",INDEX(Rebate_Lookup[Qualified Rebate Tier],MATCH(A97,Rebate_Lookup[SKU CODE],0)))</f>
        <v/>
      </c>
      <c r="P97" s="235" t="str">
        <f t="shared" si="29"/>
        <v/>
      </c>
      <c r="Q97" s="238" t="str">
        <f t="shared" si="30"/>
        <v/>
      </c>
      <c r="R97" s="183"/>
      <c r="S97" s="183"/>
      <c r="T97" s="229" cm="1">
        <f t="array" ref="T97">IF(OR(H97="",H97=0),
ROUND(_xlfn.XLOOKUP(1,(PRICING[SKU]=A97)*(PRICING[Set]=1),PRICING[Standard Use Rate (oz/M)]),2),ROUND(
_xlfn.XLOOKUP(
1,
(PRICING[SKU]=A97)*
(PRICING[Set]=IF(
_xlfn.XLOOKUP(A97,Rebate_Lookup[SKU CODE],Rebate_Lookup[MOQ_2])=0,
1,
IF(
AND(
_xlfn.XLOOKUP(A97,Rebate_Lookup[SKU CODE],Rebate_Lookup[MOQ_3])=0,
H97&gt;=_xlfn.XLOOKUP(A97,Rebate_Lookup[SKU CODE],Rebate_Lookup[MOQ_2])
),
2,
IF(
AND(
H97&gt;=_xlfn.XLOOKUP(A97,Rebate_Lookup[SKU CODE],Rebate_Lookup[MOQ_1]),
H97&lt;_xlfn.XLOOKUP(A97,Rebate_Lookup[SKU CODE],Rebate_Lookup[MOQ_2])
),
1,
IF(
AND(
H97&gt;=_xlfn.XLOOKUP(A97,Rebate_Lookup[SKU CODE],Rebate_Lookup[MOQ_2]),
OR(
_xlfn.XLOOKUP(A97,Rebate_Lookup[SKU CODE],Rebate_Lookup[MOQ_3])=0,
H97&lt;_xlfn.XLOOKUP(A97,Rebate_Lookup[SKU CODE],Rebate_Lookup[MOQ_3])
)
),
2,
IF(
OR(
AND(
_xlfn.XLOOKUP(A97,Rebate_Lookup[SKU CODE],Rebate_Lookup[MOQ_4])=0,
H97&gt;=_xlfn.XLOOKUP(A97,Rebate_Lookup[SKU CODE],Rebate_Lookup[MOQ_3])
),
AND(
_xlfn.XLOOKUP(A97,Rebate_Lookup[SKU CODE],Rebate_Lookup[MOQ_4])&gt;0,
H97&gt;=_xlfn.XLOOKUP(A97,Rebate_Lookup[SKU CODE],Rebate_Lookup[MOQ_3]),
H97&lt;_xlfn.XLOOKUP(A97,Rebate_Lookup[SKU CODE],Rebate_Lookup[MOQ_4])
)
),
3,
IF(
AND(
_xlfn.XLOOKUP(A97,Rebate_Lookup[SKU CODE],Rebate_Lookup[MOQ_4])&gt;0,
H97&gt;=_xlfn.XLOOKUP(A97,Rebate_Lookup[SKU CODE],Rebate_Lookup[MOQ_4])
),
4,
1
)
)
)
)
)
)),
PRICING[Standard Use Rate (oz/M)]
),
2
))</f>
        <v>31.96</v>
      </c>
      <c r="U97" s="143">
        <f t="shared" si="31"/>
        <v>1392.18</v>
      </c>
      <c r="V97" s="213" t="str">
        <f>IF(AND(TRIM(U97)&lt;&gt;"",TRIM(H97)&lt;&gt;""),ROUND(H97*INDEX(PRICING[Package Ounces],MATCH(A97,PRICING[SKU],0))/U97,2),"")</f>
        <v/>
      </c>
      <c r="W97" s="223">
        <f t="shared" si="32"/>
        <v>0</v>
      </c>
      <c r="X97" s="239">
        <f t="shared" si="33"/>
        <v>0</v>
      </c>
      <c r="Y97" s="98"/>
      <c r="Z97" s="98"/>
      <c r="AA97" s="98"/>
      <c r="AB97" s="98"/>
      <c r="AC97" s="98"/>
      <c r="AD97" s="98"/>
      <c r="AE97" s="98"/>
      <c r="AF97" s="98"/>
      <c r="AG97" s="98"/>
      <c r="AH97" s="98"/>
      <c r="AI97" s="98"/>
      <c r="AJ97" s="98"/>
      <c r="AK97" s="98"/>
      <c r="AL97" s="98"/>
      <c r="AM97" s="98"/>
      <c r="AN97" s="98"/>
      <c r="AO97" s="98"/>
      <c r="AP97" s="98"/>
      <c r="AQ97" s="98"/>
      <c r="AR97" s="98"/>
      <c r="AS97" s="98"/>
      <c r="AT97" s="98"/>
      <c r="AU97" s="98"/>
      <c r="AV97" s="98"/>
      <c r="AW97" s="98"/>
      <c r="AX97" s="98"/>
      <c r="AY97" s="98"/>
      <c r="AZ97" s="98"/>
      <c r="BA97" s="98"/>
      <c r="BB97" s="98"/>
      <c r="BC97" s="98"/>
      <c r="BD97" s="98"/>
      <c r="BE97" s="98"/>
    </row>
    <row r="98" spans="1:59" ht="27" customHeight="1" thickBot="1" x14ac:dyDescent="0.25">
      <c r="A98" s="177"/>
      <c r="B98" s="177"/>
      <c r="D98" s="240"/>
      <c r="E98" s="120"/>
      <c r="F98" s="120"/>
      <c r="G98" s="120"/>
      <c r="H98" s="120"/>
      <c r="I98" s="120"/>
      <c r="J98" s="121"/>
      <c r="K98" s="120"/>
      <c r="L98" s="121">
        <f>SUM(L73:L97)</f>
        <v>0</v>
      </c>
      <c r="M98" s="121">
        <f>SUM(M73:M97)</f>
        <v>0</v>
      </c>
      <c r="N98" s="121">
        <f>SUM(N73:N97)</f>
        <v>0</v>
      </c>
      <c r="O98" s="120"/>
      <c r="P98" s="121">
        <f>SUM(P73:P97)</f>
        <v>0</v>
      </c>
      <c r="Q98" s="120"/>
      <c r="R98" s="120"/>
      <c r="S98" s="120"/>
      <c r="T98" s="120"/>
      <c r="U98" s="120"/>
      <c r="V98" s="120"/>
      <c r="W98" s="120"/>
      <c r="X98" s="122"/>
      <c r="Y98" s="98"/>
      <c r="Z98" s="98"/>
      <c r="AA98" s="98"/>
      <c r="AB98" s="98"/>
      <c r="AC98" s="98"/>
      <c r="AD98" s="98"/>
      <c r="AE98" s="98"/>
      <c r="AF98" s="98"/>
      <c r="AG98" s="98"/>
      <c r="AH98" s="98"/>
      <c r="AI98" s="98"/>
      <c r="AJ98" s="98"/>
      <c r="AK98" s="98"/>
      <c r="AL98" s="98"/>
      <c r="AM98" s="98"/>
      <c r="AN98" s="98"/>
      <c r="AO98" s="98"/>
      <c r="AP98" s="98"/>
      <c r="AQ98" s="98"/>
      <c r="AR98" s="98"/>
      <c r="AS98" s="98"/>
      <c r="AT98" s="98"/>
      <c r="AU98" s="98"/>
      <c r="AV98" s="98"/>
      <c r="AW98" s="98"/>
      <c r="AX98" s="98"/>
      <c r="AY98" s="98"/>
      <c r="AZ98" s="98"/>
      <c r="BA98" s="98"/>
      <c r="BB98" s="98"/>
      <c r="BC98" s="98"/>
      <c r="BD98" s="98"/>
      <c r="BE98" s="98"/>
    </row>
    <row r="99" spans="1:59" ht="13" customHeight="1" x14ac:dyDescent="0.25">
      <c r="H99" s="49"/>
      <c r="I99" s="49"/>
      <c r="J99" s="49"/>
      <c r="T99" s="50"/>
      <c r="U99" s="50"/>
      <c r="V99" s="50"/>
      <c r="W99" s="50"/>
      <c r="X99" s="50"/>
      <c r="Y99" s="50"/>
      <c r="Z99" s="50"/>
      <c r="AA99" s="98"/>
      <c r="AB99" s="98"/>
      <c r="AC99" s="98"/>
      <c r="AD99" s="98"/>
      <c r="AE99" s="98"/>
      <c r="AF99" s="98"/>
      <c r="AG99" s="98"/>
      <c r="AH99" s="98"/>
      <c r="AI99" s="98"/>
      <c r="AJ99" s="98"/>
      <c r="AK99" s="98"/>
      <c r="AL99" s="98"/>
      <c r="AM99" s="98"/>
      <c r="AN99" s="98"/>
      <c r="AO99" s="98"/>
      <c r="AP99" s="98"/>
      <c r="AQ99" s="98"/>
      <c r="AR99" s="98"/>
      <c r="AS99" s="98"/>
      <c r="AT99" s="98"/>
      <c r="AU99" s="98"/>
      <c r="AV99" s="98"/>
      <c r="AW99" s="98"/>
      <c r="AX99" s="98"/>
      <c r="AY99" s="98"/>
      <c r="AZ99" s="98"/>
      <c r="BA99" s="98"/>
      <c r="BB99" s="98"/>
      <c r="BC99" s="98"/>
      <c r="BD99" s="98"/>
      <c r="BE99" s="98"/>
      <c r="BF99" s="98"/>
      <c r="BG99" s="98"/>
    </row>
    <row r="100" spans="1:59" ht="22.5" customHeight="1" x14ac:dyDescent="0.25">
      <c r="H100" s="49"/>
      <c r="I100" s="359" t="str">
        <f>IF(COUNTIFS(H73:H97,"&lt;&gt;",I73:I97,"")&gt;0,"**ERROR**: MISSING PRICE INPUT VALUE","")</f>
        <v/>
      </c>
      <c r="J100" s="359"/>
      <c r="K100" s="359"/>
      <c r="L100" s="359"/>
      <c r="M100" s="123"/>
      <c r="N100" s="123"/>
      <c r="T100" s="50"/>
      <c r="U100" s="50"/>
      <c r="V100" s="50"/>
      <c r="W100" s="50"/>
      <c r="X100" s="50"/>
      <c r="Y100" s="50"/>
      <c r="Z100" s="50"/>
      <c r="AA100" s="98"/>
      <c r="AB100" s="98"/>
      <c r="AC100" s="98"/>
      <c r="AD100" s="98"/>
      <c r="AE100" s="98"/>
      <c r="AF100" s="98"/>
      <c r="AG100" s="98"/>
      <c r="AH100" s="98"/>
      <c r="AI100" s="98"/>
      <c r="AJ100" s="98"/>
      <c r="AK100" s="98"/>
      <c r="AL100" s="98"/>
      <c r="AM100" s="98"/>
      <c r="AN100" s="98"/>
      <c r="AO100" s="98"/>
      <c r="AP100" s="98"/>
      <c r="AQ100" s="98"/>
      <c r="AR100" s="98"/>
      <c r="AS100" s="98"/>
      <c r="AT100" s="98"/>
      <c r="AU100" s="98"/>
      <c r="AV100" s="98"/>
      <c r="AW100" s="98"/>
      <c r="AX100" s="98"/>
      <c r="AY100" s="98"/>
      <c r="AZ100" s="98"/>
      <c r="BA100" s="98"/>
      <c r="BB100" s="98"/>
      <c r="BC100" s="98"/>
      <c r="BD100" s="98"/>
      <c r="BE100" s="98"/>
      <c r="BF100" s="98"/>
      <c r="BG100" s="98"/>
    </row>
    <row r="101" spans="1:59" ht="21.75" customHeight="1" thickBot="1" x14ac:dyDescent="0.35">
      <c r="D101" s="97" t="s">
        <v>99</v>
      </c>
      <c r="E101" s="51"/>
      <c r="F101" s="51"/>
      <c r="G101" s="51"/>
      <c r="H101" s="51"/>
      <c r="I101" s="51"/>
      <c r="J101" s="51"/>
      <c r="K101" s="51"/>
      <c r="L101" s="51"/>
      <c r="M101" s="51"/>
      <c r="N101" s="51"/>
      <c r="O101" s="51"/>
      <c r="P101" s="51"/>
      <c r="Q101" s="51"/>
      <c r="R101" s="51"/>
      <c r="S101" s="51"/>
      <c r="T101" s="51"/>
      <c r="U101" s="51"/>
      <c r="V101" s="51"/>
      <c r="W101" s="51"/>
      <c r="X101" s="51"/>
    </row>
    <row r="102" spans="1:59" ht="21.75" customHeight="1" x14ac:dyDescent="0.25">
      <c r="D102" s="142" t="s">
        <v>100</v>
      </c>
      <c r="E102" s="142"/>
      <c r="F102" s="142"/>
      <c r="G102" s="142"/>
      <c r="H102" s="142"/>
      <c r="I102" s="49"/>
      <c r="J102" s="49"/>
      <c r="K102" s="53"/>
      <c r="AA102" s="98"/>
      <c r="AB102" s="98"/>
      <c r="AC102" s="98"/>
      <c r="AD102" s="98"/>
      <c r="AE102" s="98"/>
      <c r="AF102" s="98"/>
      <c r="AG102" s="98"/>
      <c r="AH102" s="98"/>
      <c r="AI102" s="98"/>
      <c r="AJ102" s="98"/>
      <c r="AK102" s="98"/>
      <c r="AL102" s="98"/>
      <c r="AM102" s="98"/>
      <c r="AN102" s="98"/>
      <c r="AO102" s="98"/>
      <c r="AP102" s="98"/>
      <c r="AQ102" s="98"/>
      <c r="AR102" s="98"/>
      <c r="AS102" s="98"/>
      <c r="AT102" s="98"/>
      <c r="AU102" s="98"/>
      <c r="AV102" s="98"/>
      <c r="AW102" s="98"/>
      <c r="AX102" s="98"/>
      <c r="AY102" s="98"/>
      <c r="AZ102" s="98"/>
      <c r="BA102" s="98"/>
      <c r="BB102" s="98"/>
      <c r="BC102" s="98"/>
      <c r="BD102" s="98"/>
      <c r="BE102" s="98"/>
      <c r="BF102" s="98"/>
      <c r="BG102" s="98"/>
    </row>
    <row r="103" spans="1:59" ht="21.75" customHeight="1" x14ac:dyDescent="0.25">
      <c r="H103" s="13"/>
      <c r="I103" s="49"/>
      <c r="J103" s="49"/>
      <c r="K103" s="54"/>
      <c r="Y103" s="59"/>
      <c r="Z103" s="59"/>
      <c r="AA103" s="98"/>
      <c r="AB103" s="98"/>
      <c r="AC103" s="98"/>
      <c r="AD103" s="98"/>
      <c r="AE103" s="98"/>
      <c r="AF103" s="98"/>
      <c r="AG103" s="98"/>
      <c r="AH103" s="98"/>
      <c r="AI103" s="98"/>
      <c r="AJ103" s="98"/>
      <c r="AK103" s="98"/>
      <c r="AL103" s="98"/>
      <c r="AM103" s="98"/>
      <c r="AN103" s="98"/>
      <c r="AO103" s="98"/>
      <c r="AP103" s="98"/>
      <c r="AQ103" s="98"/>
      <c r="AR103" s="98"/>
      <c r="AS103" s="98"/>
      <c r="AT103" s="98"/>
      <c r="AU103" s="98"/>
      <c r="AV103" s="98"/>
      <c r="AW103" s="98"/>
      <c r="AX103" s="98"/>
      <c r="AY103" s="98"/>
      <c r="AZ103" s="98"/>
      <c r="BA103" s="98"/>
      <c r="BB103" s="98"/>
      <c r="BC103" s="98"/>
      <c r="BD103" s="98"/>
      <c r="BE103" s="98"/>
      <c r="BF103" s="98"/>
      <c r="BG103" s="98"/>
    </row>
    <row r="104" spans="1:59" ht="21.75" customHeight="1" x14ac:dyDescent="0.2">
      <c r="D104" s="302" t="s">
        <v>101</v>
      </c>
      <c r="E104" s="303"/>
      <c r="F104" s="304"/>
      <c r="G104" s="361">
        <f>J68+L98</f>
        <v>0</v>
      </c>
      <c r="H104" s="362"/>
      <c r="I104" s="55"/>
      <c r="J104" s="50"/>
      <c r="K104" s="360" t="s">
        <v>102</v>
      </c>
      <c r="L104" s="360"/>
      <c r="M104" s="360"/>
      <c r="N104" s="360"/>
      <c r="O104" s="360"/>
      <c r="P104" s="360"/>
      <c r="Q104" s="360"/>
      <c r="R104" s="360"/>
      <c r="S104" s="360"/>
      <c r="T104" s="360"/>
      <c r="U104" s="360"/>
      <c r="V104" s="360"/>
      <c r="W104" s="360"/>
      <c r="X104" s="360"/>
      <c r="Y104" s="59"/>
      <c r="Z104" s="59"/>
      <c r="AA104" s="98"/>
      <c r="AB104" s="98"/>
      <c r="AC104" s="98"/>
      <c r="AD104" s="98"/>
      <c r="AE104" s="98"/>
      <c r="AF104" s="98"/>
      <c r="AG104" s="98"/>
      <c r="AH104" s="98"/>
      <c r="AI104" s="98"/>
      <c r="AJ104" s="98"/>
      <c r="AK104" s="98"/>
      <c r="AL104" s="98"/>
      <c r="AM104" s="98"/>
      <c r="AN104" s="98"/>
      <c r="AO104" s="98"/>
      <c r="AP104" s="98"/>
      <c r="AQ104" s="98"/>
      <c r="AR104" s="98"/>
      <c r="AS104" s="98"/>
      <c r="AT104" s="98"/>
      <c r="AU104" s="98"/>
      <c r="AV104" s="98"/>
      <c r="AW104" s="98"/>
      <c r="AX104" s="98"/>
      <c r="AY104" s="98"/>
      <c r="AZ104" s="98"/>
      <c r="BA104" s="98"/>
      <c r="BB104" s="98"/>
      <c r="BC104" s="98"/>
      <c r="BD104" s="98"/>
      <c r="BE104" s="98"/>
      <c r="BF104" s="98"/>
      <c r="BG104" s="98"/>
    </row>
    <row r="105" spans="1:59" ht="21.75" customHeight="1" x14ac:dyDescent="0.2">
      <c r="D105" s="302" t="s">
        <v>103</v>
      </c>
      <c r="E105" s="303"/>
      <c r="F105" s="304"/>
      <c r="G105" s="361">
        <f>L68+L98</f>
        <v>0</v>
      </c>
      <c r="H105" s="362"/>
      <c r="I105" s="55"/>
      <c r="J105" s="50"/>
      <c r="K105" s="360"/>
      <c r="L105" s="360"/>
      <c r="M105" s="360"/>
      <c r="N105" s="360"/>
      <c r="O105" s="360"/>
      <c r="P105" s="360"/>
      <c r="Q105" s="360"/>
      <c r="R105" s="360"/>
      <c r="S105" s="360"/>
      <c r="T105" s="360"/>
      <c r="U105" s="360"/>
      <c r="V105" s="360"/>
      <c r="W105" s="360"/>
      <c r="X105" s="360"/>
      <c r="Y105" s="50"/>
      <c r="Z105" s="59"/>
      <c r="AA105" s="98"/>
      <c r="AB105" s="98"/>
      <c r="AC105" s="98"/>
      <c r="AD105" s="98"/>
      <c r="AE105" s="98"/>
      <c r="AF105" s="98"/>
      <c r="AG105" s="98"/>
      <c r="AH105" s="98"/>
      <c r="AI105" s="98"/>
      <c r="AJ105" s="98"/>
      <c r="AK105" s="98"/>
      <c r="AL105" s="98"/>
      <c r="AM105" s="98"/>
      <c r="AN105" s="98"/>
      <c r="AO105" s="98"/>
      <c r="AP105" s="98"/>
      <c r="AQ105" s="98"/>
      <c r="AR105" s="98"/>
      <c r="AS105" s="98"/>
      <c r="AT105" s="98"/>
      <c r="AU105" s="98"/>
      <c r="AV105" s="98"/>
      <c r="AW105" s="98"/>
      <c r="AX105" s="98"/>
      <c r="AY105" s="98"/>
      <c r="AZ105" s="98"/>
      <c r="BA105" s="98"/>
      <c r="BB105" s="98"/>
      <c r="BC105" s="98"/>
      <c r="BD105" s="98"/>
      <c r="BE105" s="98"/>
      <c r="BF105" s="98"/>
      <c r="BG105" s="98"/>
    </row>
    <row r="106" spans="1:59" ht="21.75" customHeight="1" x14ac:dyDescent="0.2">
      <c r="D106" s="139" t="s">
        <v>104</v>
      </c>
      <c r="E106" s="140"/>
      <c r="F106" s="141"/>
      <c r="G106" s="99" t="str">
        <f>IFERROR(ROUND(H106/G105,3),"n/a")</f>
        <v>n/a</v>
      </c>
      <c r="H106" s="119">
        <f>G104-G105</f>
        <v>0</v>
      </c>
      <c r="I106" s="56"/>
      <c r="J106" s="50"/>
      <c r="K106" s="360"/>
      <c r="L106" s="360"/>
      <c r="M106" s="360"/>
      <c r="N106" s="360"/>
      <c r="O106" s="360"/>
      <c r="P106" s="360"/>
      <c r="Q106" s="360"/>
      <c r="R106" s="360"/>
      <c r="S106" s="360"/>
      <c r="T106" s="360"/>
      <c r="U106" s="360"/>
      <c r="V106" s="360"/>
      <c r="W106" s="360"/>
      <c r="X106" s="360"/>
      <c r="Y106" s="50"/>
      <c r="Z106" s="59"/>
      <c r="AA106" s="98"/>
      <c r="AB106" s="98"/>
      <c r="AC106" s="98"/>
      <c r="AD106" s="98"/>
      <c r="AE106" s="98"/>
      <c r="AF106" s="98"/>
      <c r="AG106" s="98"/>
      <c r="AH106" s="98"/>
      <c r="AI106" s="98"/>
      <c r="AJ106" s="98"/>
      <c r="AK106" s="98"/>
      <c r="AL106" s="98"/>
      <c r="AM106" s="98"/>
      <c r="AN106" s="98"/>
      <c r="AO106" s="98"/>
      <c r="AP106" s="98"/>
      <c r="AQ106" s="98"/>
      <c r="AR106" s="98"/>
      <c r="AS106" s="98"/>
      <c r="AT106" s="98"/>
      <c r="AU106" s="98"/>
      <c r="AV106" s="98"/>
      <c r="AW106" s="98"/>
      <c r="AX106" s="98"/>
      <c r="AY106" s="98"/>
      <c r="AZ106" s="98"/>
      <c r="BA106" s="98"/>
      <c r="BB106" s="98"/>
      <c r="BC106" s="98"/>
      <c r="BD106" s="98"/>
      <c r="BE106" s="98"/>
      <c r="BF106" s="98"/>
      <c r="BG106" s="98"/>
    </row>
    <row r="107" spans="1:59" ht="21.75" customHeight="1" x14ac:dyDescent="0.2">
      <c r="D107" s="363" t="s">
        <v>105</v>
      </c>
      <c r="E107" s="364"/>
      <c r="F107" s="365"/>
      <c r="G107" s="366"/>
      <c r="H107" s="367"/>
      <c r="I107" s="56"/>
      <c r="J107" s="50"/>
      <c r="K107" s="360"/>
      <c r="L107" s="360"/>
      <c r="M107" s="360"/>
      <c r="N107" s="360"/>
      <c r="O107" s="360"/>
      <c r="P107" s="360"/>
      <c r="Q107" s="360"/>
      <c r="R107" s="360"/>
      <c r="S107" s="360"/>
      <c r="T107" s="360"/>
      <c r="U107" s="360"/>
      <c r="V107" s="360"/>
      <c r="W107" s="360"/>
      <c r="X107" s="360"/>
      <c r="Y107" s="50"/>
      <c r="Z107" s="59"/>
      <c r="AA107" s="98"/>
      <c r="AB107" s="98"/>
      <c r="AC107" s="98"/>
      <c r="AD107" s="98"/>
      <c r="AE107" s="98"/>
      <c r="AF107" s="98"/>
      <c r="AG107" s="98"/>
      <c r="AH107" s="98"/>
      <c r="AI107" s="98"/>
      <c r="AJ107" s="98"/>
      <c r="AK107" s="98"/>
      <c r="AL107" s="98"/>
      <c r="AM107" s="98"/>
      <c r="AN107" s="98"/>
      <c r="AO107" s="98"/>
      <c r="AP107" s="98"/>
      <c r="AQ107" s="98"/>
      <c r="AR107" s="98"/>
      <c r="AS107" s="98"/>
      <c r="AT107" s="98"/>
      <c r="AU107" s="98"/>
      <c r="AV107" s="98"/>
      <c r="AW107" s="98"/>
      <c r="AX107" s="98"/>
      <c r="AY107" s="98"/>
      <c r="AZ107" s="98"/>
      <c r="BA107" s="98"/>
      <c r="BB107" s="98"/>
      <c r="BC107" s="98"/>
      <c r="BD107" s="98"/>
      <c r="BE107" s="98"/>
      <c r="BF107" s="98"/>
      <c r="BG107" s="98"/>
    </row>
    <row r="108" spans="1:59" ht="21.75" customHeight="1" x14ac:dyDescent="0.2">
      <c r="D108" s="299" t="s">
        <v>106</v>
      </c>
      <c r="E108" s="300"/>
      <c r="F108" s="301"/>
      <c r="G108" s="96" t="str">
        <f>IFERROR(ROUND(H108/G105,3),"n/a")</f>
        <v>n/a</v>
      </c>
      <c r="H108" s="298">
        <f>P68+(L98-P98)+IF(P9="n/a",0,P9)</f>
        <v>0</v>
      </c>
      <c r="I108" s="57"/>
      <c r="J108" s="50"/>
      <c r="K108" s="360"/>
      <c r="L108" s="360"/>
      <c r="M108" s="360"/>
      <c r="N108" s="360"/>
      <c r="O108" s="360"/>
      <c r="P108" s="360"/>
      <c r="Q108" s="360"/>
      <c r="R108" s="360"/>
      <c r="S108" s="360"/>
      <c r="T108" s="360"/>
      <c r="U108" s="360"/>
      <c r="V108" s="360"/>
      <c r="W108" s="360"/>
      <c r="X108" s="360"/>
      <c r="Y108" s="50"/>
      <c r="Z108" s="59"/>
      <c r="AA108" s="98"/>
      <c r="AB108" s="98"/>
      <c r="AC108" s="98"/>
      <c r="AD108" s="98"/>
      <c r="AE108" s="98"/>
      <c r="AF108" s="98"/>
      <c r="AG108" s="98"/>
      <c r="AH108" s="98"/>
      <c r="AI108" s="98"/>
      <c r="AJ108" s="98"/>
      <c r="AK108" s="98"/>
      <c r="AL108" s="98"/>
      <c r="AM108" s="98"/>
      <c r="AN108" s="98"/>
      <c r="AO108" s="98"/>
      <c r="AP108" s="98"/>
      <c r="AQ108" s="98"/>
      <c r="AR108" s="98"/>
      <c r="AS108" s="98"/>
      <c r="AT108" s="98"/>
      <c r="AU108" s="98"/>
      <c r="AV108" s="98"/>
      <c r="AW108" s="98"/>
      <c r="AX108" s="98"/>
      <c r="AY108" s="98"/>
      <c r="AZ108" s="98"/>
      <c r="BA108" s="98"/>
      <c r="BB108" s="98"/>
      <c r="BC108" s="98"/>
      <c r="BD108" s="98"/>
      <c r="BE108" s="98"/>
      <c r="BF108" s="98"/>
      <c r="BG108" s="98"/>
    </row>
    <row r="109" spans="1:59" ht="21.75" customHeight="1" x14ac:dyDescent="0.2">
      <c r="D109" s="299" t="s">
        <v>107</v>
      </c>
      <c r="E109" s="300"/>
      <c r="F109" s="301"/>
      <c r="G109" s="96" t="str">
        <f>IF(S6=TRUE,S5,IF(T6=TRUE,T5,IF(U6=TRUE,U5,IF(V6=TRUE,V5,IF(W6=TRUE,W5,IF(X6=TRUE,X5,"n/a"))))))</f>
        <v>n/a</v>
      </c>
      <c r="H109" s="118" t="str">
        <f>IFERROR(
    ROUND(
        (
            SUM(L15:L67)
            - SUMIF(E15:E67,"*Specticle*FLO*",L15:L67)
            - SUMIF(E15:E67,"*Ronstar*FLO*",L15:L67)
        ) * $G$109,
        2
    ),
    "n/a"
)</f>
        <v>n/a</v>
      </c>
      <c r="I109" s="57"/>
      <c r="J109" s="50"/>
      <c r="K109" s="360"/>
      <c r="L109" s="360"/>
      <c r="M109" s="360"/>
      <c r="N109" s="360"/>
      <c r="O109" s="360"/>
      <c r="P109" s="360"/>
      <c r="Q109" s="360"/>
      <c r="R109" s="360"/>
      <c r="S109" s="360"/>
      <c r="T109" s="360"/>
      <c r="U109" s="360"/>
      <c r="V109" s="360"/>
      <c r="W109" s="360"/>
      <c r="X109" s="360"/>
      <c r="Y109" s="50"/>
      <c r="Z109" s="59"/>
      <c r="AA109" s="98"/>
      <c r="AB109" s="98"/>
      <c r="AC109" s="98"/>
      <c r="AD109" s="98"/>
      <c r="AE109" s="98"/>
      <c r="AF109" s="98"/>
      <c r="AG109" s="98"/>
      <c r="AH109" s="98"/>
      <c r="AI109" s="98"/>
      <c r="AJ109" s="98"/>
      <c r="AK109" s="98"/>
      <c r="AL109" s="98"/>
      <c r="AM109" s="98"/>
      <c r="AN109" s="98"/>
      <c r="AO109" s="98"/>
      <c r="AP109" s="98"/>
      <c r="AQ109" s="98"/>
      <c r="AR109" s="98"/>
      <c r="AS109" s="98"/>
      <c r="AT109" s="98"/>
      <c r="AU109" s="98"/>
      <c r="AV109" s="98"/>
      <c r="AW109" s="98"/>
      <c r="AX109" s="98"/>
      <c r="AY109" s="98"/>
      <c r="AZ109" s="98"/>
      <c r="BA109" s="98"/>
      <c r="BB109" s="98"/>
      <c r="BC109" s="98"/>
      <c r="BD109" s="98"/>
      <c r="BE109" s="98"/>
      <c r="BF109" s="98"/>
      <c r="BG109" s="98"/>
    </row>
    <row r="110" spans="1:59" ht="21.75" customHeight="1" x14ac:dyDescent="0.2">
      <c r="D110" s="299" t="s">
        <v>108</v>
      </c>
      <c r="E110" s="300"/>
      <c r="F110" s="301"/>
      <c r="G110" s="96" t="str">
        <f>S9</f>
        <v>n/a</v>
      </c>
      <c r="H110" s="118" t="str">
        <f>IFERROR(
    ROUND(
        (
            SUM(L15:L67)
            - SUMIF(E15:E67,"*Specticle*FLO*",L15:L67)
            - SUMIF(E15:E67,"*Ronstar*FLO*",L15:L67)
        ) * $G$110,
        2
    ),
    "n/a"
)</f>
        <v>n/a</v>
      </c>
      <c r="I110" s="57"/>
      <c r="J110" s="58"/>
      <c r="K110" s="360"/>
      <c r="L110" s="360"/>
      <c r="M110" s="360"/>
      <c r="N110" s="360"/>
      <c r="O110" s="360"/>
      <c r="P110" s="360"/>
      <c r="Q110" s="360"/>
      <c r="R110" s="360"/>
      <c r="S110" s="360"/>
      <c r="T110" s="360"/>
      <c r="U110" s="360"/>
      <c r="V110" s="360"/>
      <c r="W110" s="360"/>
      <c r="X110" s="360"/>
      <c r="Y110" s="50"/>
      <c r="Z110" s="59"/>
      <c r="AA110" s="98"/>
      <c r="AB110" s="98"/>
      <c r="AC110" s="98"/>
      <c r="AD110" s="98"/>
      <c r="AE110" s="98"/>
      <c r="AF110" s="98"/>
      <c r="AG110" s="98"/>
      <c r="AH110" s="98"/>
      <c r="AI110" s="98"/>
      <c r="AJ110" s="98"/>
      <c r="AK110" s="98"/>
      <c r="AL110" s="98"/>
      <c r="AM110" s="98"/>
      <c r="AN110" s="98"/>
      <c r="AO110" s="98"/>
      <c r="AP110" s="98"/>
      <c r="AQ110" s="98"/>
      <c r="AR110" s="98"/>
      <c r="AS110" s="98"/>
      <c r="AT110" s="98"/>
      <c r="AU110" s="98"/>
      <c r="AV110" s="98"/>
      <c r="AW110" s="98"/>
      <c r="AX110" s="98"/>
      <c r="AY110" s="98"/>
      <c r="AZ110" s="98"/>
      <c r="BA110" s="98"/>
      <c r="BB110" s="98"/>
      <c r="BC110" s="98"/>
      <c r="BD110" s="98"/>
      <c r="BE110" s="98"/>
      <c r="BF110" s="98"/>
      <c r="BG110" s="98"/>
    </row>
    <row r="111" spans="1:59" ht="21.75" customHeight="1" x14ac:dyDescent="0.2">
      <c r="D111" s="299" t="s">
        <v>109</v>
      </c>
      <c r="E111" s="300"/>
      <c r="F111" s="301"/>
      <c r="G111" s="96" t="str">
        <f>U9</f>
        <v>n/a</v>
      </c>
      <c r="H111" s="118" t="str">
        <f>IFERROR(
    ROUND(
        (
            SUM(L15:L67)
            - SUMIF(E15:E67,"*Specticle*FLO*",L15:L67)
            - SUMIF(E15:E67,"*Ronstar*FLO*",L15:L67)
        ) * $G$111,
        2
    ),
    "n/a"
)</f>
        <v>n/a</v>
      </c>
      <c r="I111" s="57"/>
      <c r="J111" s="19"/>
      <c r="K111" s="360"/>
      <c r="L111" s="360"/>
      <c r="M111" s="360"/>
      <c r="N111" s="360"/>
      <c r="O111" s="360"/>
      <c r="P111" s="360"/>
      <c r="Q111" s="360"/>
      <c r="R111" s="360"/>
      <c r="S111" s="360"/>
      <c r="T111" s="360"/>
      <c r="U111" s="360"/>
      <c r="V111" s="360"/>
      <c r="W111" s="360"/>
      <c r="X111" s="360"/>
      <c r="Y111" s="50"/>
      <c r="Z111" s="59"/>
      <c r="AA111" s="98"/>
      <c r="AB111" s="98"/>
      <c r="AC111" s="98"/>
      <c r="AD111" s="98"/>
      <c r="AE111" s="98"/>
      <c r="AF111" s="98"/>
      <c r="AG111" s="98"/>
      <c r="AH111" s="98"/>
      <c r="AI111" s="98"/>
      <c r="AJ111" s="98"/>
      <c r="AK111" s="98"/>
      <c r="AL111" s="98"/>
      <c r="AM111" s="98"/>
      <c r="AN111" s="98"/>
      <c r="AO111" s="98"/>
      <c r="AP111" s="98"/>
      <c r="AQ111" s="98"/>
      <c r="AR111" s="98"/>
      <c r="AS111" s="98"/>
      <c r="AT111" s="98"/>
      <c r="AU111" s="98"/>
      <c r="AV111" s="98"/>
      <c r="AW111" s="98"/>
      <c r="AX111" s="98"/>
      <c r="AY111" s="98"/>
      <c r="AZ111" s="98"/>
      <c r="BA111" s="98"/>
      <c r="BB111" s="98"/>
      <c r="BC111" s="98"/>
      <c r="BD111" s="98"/>
      <c r="BE111" s="98"/>
      <c r="BF111" s="98"/>
      <c r="BG111" s="98"/>
    </row>
    <row r="112" spans="1:59" s="19" customFormat="1" ht="21.75" customHeight="1" x14ac:dyDescent="0.2">
      <c r="A112" s="13"/>
      <c r="B112" s="13"/>
      <c r="C112" s="13"/>
      <c r="D112" s="299" t="s">
        <v>110</v>
      </c>
      <c r="E112" s="300"/>
      <c r="F112" s="301"/>
      <c r="G112" s="96" t="str">
        <f>W9</f>
        <v>n/a</v>
      </c>
      <c r="H112" s="118" t="str">
        <f>IFERROR(
    ROUND(
        (
            SUM(L15:L67)
            - SUMIF(E15:E67,"*Specticle*FLO*",L15:L67)
            - SUMIF(E15:E67,"*Ronstar*FLO*",L15:L67)
        ) * $G$112,
        2
    ),
    "n/a"
)</f>
        <v>n/a</v>
      </c>
      <c r="I112" s="57"/>
      <c r="K112" s="360"/>
      <c r="L112" s="360"/>
      <c r="M112" s="360"/>
      <c r="N112" s="360"/>
      <c r="O112" s="360"/>
      <c r="P112" s="360"/>
      <c r="Q112" s="360"/>
      <c r="R112" s="360"/>
      <c r="S112" s="360"/>
      <c r="T112" s="360"/>
      <c r="U112" s="360"/>
      <c r="V112" s="360"/>
      <c r="W112" s="360"/>
      <c r="X112" s="360"/>
      <c r="Y112" s="50"/>
      <c r="AA112" s="98"/>
      <c r="AB112" s="98"/>
      <c r="AC112" s="98"/>
      <c r="AD112" s="98"/>
      <c r="AE112" s="98"/>
      <c r="AF112" s="98"/>
      <c r="AG112" s="98"/>
      <c r="AH112" s="100"/>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100"/>
      <c r="BE112" s="100"/>
      <c r="BF112" s="100"/>
      <c r="BG112" s="100"/>
    </row>
    <row r="113" spans="1:59" s="19" customFormat="1" ht="21.75" customHeight="1" x14ac:dyDescent="0.2">
      <c r="A113" s="13"/>
      <c r="B113" s="13"/>
      <c r="C113" s="13"/>
      <c r="D113" s="129" t="s">
        <v>111</v>
      </c>
      <c r="E113" s="130"/>
      <c r="F113" s="131"/>
      <c r="G113" s="96" t="str">
        <f>IF(L68+M98&gt;5000,IF(R10="Yes",2%,"n/a"),"n/a")</f>
        <v>n/a</v>
      </c>
      <c r="H113" s="118" t="str" cm="1">
        <f t="array" ref="H113">_xlfn.LET(
    _xlpm.v,
    ROUND(
        SUM(
            _xlfn._xlws.FILTER(
                L15:L67,
                _xlfn.XLOOKUP(A15:A67,PRICING[SKU],PRICING[October Bonus],FALSE)=TRUE
            )
        )*$G$113,
        2
    ),
    IFERROR(IF(_xlpm.v=0,"n/a",_xlpm.v),"n/a")
)</f>
        <v>n/a</v>
      </c>
      <c r="I113" s="57"/>
      <c r="K113" s="360"/>
      <c r="L113" s="360"/>
      <c r="M113" s="360"/>
      <c r="N113" s="360"/>
      <c r="O113" s="360"/>
      <c r="P113" s="360"/>
      <c r="Q113" s="360"/>
      <c r="R113" s="360"/>
      <c r="S113" s="360"/>
      <c r="T113" s="360"/>
      <c r="U113" s="360"/>
      <c r="V113" s="360"/>
      <c r="W113" s="360"/>
      <c r="X113" s="360"/>
      <c r="AA113" s="98"/>
      <c r="AB113" s="98"/>
      <c r="AC113" s="98"/>
      <c r="AD113" s="98"/>
      <c r="AE113" s="98"/>
      <c r="AF113" s="98"/>
      <c r="AG113" s="98"/>
      <c r="AH113" s="100"/>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100"/>
      <c r="BE113" s="100"/>
      <c r="BF113" s="100"/>
      <c r="BG113" s="100"/>
    </row>
    <row r="114" spans="1:59" s="19" customFormat="1" ht="21.75" customHeight="1" x14ac:dyDescent="0.2">
      <c r="A114" s="13"/>
      <c r="B114" s="13"/>
      <c r="C114" s="13"/>
      <c r="D114" s="139" t="s">
        <v>112</v>
      </c>
      <c r="E114" s="140"/>
      <c r="F114" s="141"/>
      <c r="G114" s="99">
        <f>SUM(G108:G113)</f>
        <v>0</v>
      </c>
      <c r="H114" s="119">
        <f>SUM(H108:H113)</f>
        <v>0</v>
      </c>
      <c r="I114" s="20"/>
      <c r="K114" s="360"/>
      <c r="L114" s="360"/>
      <c r="M114" s="360"/>
      <c r="N114" s="360"/>
      <c r="O114" s="360"/>
      <c r="P114" s="360"/>
      <c r="Q114" s="360"/>
      <c r="R114" s="360"/>
      <c r="S114" s="360"/>
      <c r="T114" s="360"/>
      <c r="U114" s="360"/>
      <c r="V114" s="360"/>
      <c r="W114" s="360"/>
      <c r="X114" s="360"/>
      <c r="AA114" s="98"/>
      <c r="AB114" s="98"/>
      <c r="AC114" s="98"/>
      <c r="AD114" s="98"/>
      <c r="AE114" s="98"/>
      <c r="AF114" s="98"/>
      <c r="AG114" s="98"/>
      <c r="AH114" s="100"/>
      <c r="AI114" s="100"/>
      <c r="AJ114" s="100"/>
      <c r="AK114" s="100"/>
      <c r="AL114" s="100"/>
      <c r="AM114" s="100"/>
      <c r="AN114" s="100"/>
      <c r="AO114" s="100"/>
      <c r="AP114" s="100"/>
      <c r="AQ114" s="100"/>
      <c r="AR114" s="100"/>
      <c r="AS114" s="100"/>
      <c r="AT114" s="100"/>
      <c r="AU114" s="100"/>
      <c r="AV114" s="100"/>
      <c r="AW114" s="100"/>
      <c r="AX114" s="100"/>
      <c r="AY114" s="100"/>
      <c r="AZ114" s="100"/>
      <c r="BA114" s="100"/>
      <c r="BB114" s="100"/>
      <c r="BC114" s="100"/>
      <c r="BD114" s="100"/>
      <c r="BE114" s="100"/>
      <c r="BF114" s="100"/>
      <c r="BG114" s="100"/>
    </row>
    <row r="115" spans="1:59" s="19" customFormat="1" ht="21.75" customHeight="1" x14ac:dyDescent="0.2">
      <c r="A115" s="13"/>
      <c r="B115" s="13"/>
      <c r="C115" s="13"/>
      <c r="D115" s="302" t="s">
        <v>113</v>
      </c>
      <c r="E115" s="303"/>
      <c r="F115" s="304"/>
      <c r="G115" s="96" t="str">
        <f>IFERROR(ROUND(H115/G105,3),"n/a")</f>
        <v>n/a</v>
      </c>
      <c r="H115" s="118">
        <f>H114+H106</f>
        <v>0</v>
      </c>
      <c r="I115" s="57"/>
      <c r="K115" s="360"/>
      <c r="L115" s="360"/>
      <c r="M115" s="360"/>
      <c r="N115" s="360"/>
      <c r="O115" s="360"/>
      <c r="P115" s="360"/>
      <c r="Q115" s="360"/>
      <c r="R115" s="360"/>
      <c r="S115" s="360"/>
      <c r="T115" s="360"/>
      <c r="U115" s="360"/>
      <c r="V115" s="360"/>
      <c r="W115" s="360"/>
      <c r="X115" s="360"/>
      <c r="AA115" s="98"/>
      <c r="AB115" s="98"/>
      <c r="AC115" s="98"/>
      <c r="AD115" s="98"/>
      <c r="AE115" s="98"/>
      <c r="AF115" s="98"/>
      <c r="AG115" s="98"/>
      <c r="AH115" s="100"/>
      <c r="AI115" s="100"/>
      <c r="AJ115" s="100"/>
      <c r="AK115" s="100"/>
      <c r="AL115" s="100"/>
      <c r="AM115" s="100"/>
      <c r="AN115" s="100"/>
      <c r="AO115" s="100"/>
      <c r="AP115" s="100"/>
      <c r="AQ115" s="100"/>
      <c r="AR115" s="100"/>
      <c r="AS115" s="100"/>
      <c r="AT115" s="100"/>
      <c r="AU115" s="100"/>
      <c r="AV115" s="100"/>
      <c r="AW115" s="100"/>
      <c r="AX115" s="100"/>
      <c r="AY115" s="100"/>
      <c r="AZ115" s="100"/>
      <c r="BA115" s="100"/>
      <c r="BB115" s="100"/>
      <c r="BC115" s="100"/>
      <c r="BD115" s="100"/>
      <c r="BE115" s="100"/>
      <c r="BF115" s="100"/>
      <c r="BG115" s="100"/>
    </row>
    <row r="116" spans="1:59" s="19" customFormat="1" ht="21.75" customHeight="1" x14ac:dyDescent="0.2">
      <c r="A116" s="13"/>
      <c r="B116" s="13"/>
      <c r="C116" s="13"/>
      <c r="D116" s="305" t="s">
        <v>114</v>
      </c>
      <c r="E116" s="306"/>
      <c r="F116" s="307"/>
      <c r="G116" s="308">
        <f>G105-H114</f>
        <v>0</v>
      </c>
      <c r="H116" s="309"/>
      <c r="I116" s="20"/>
      <c r="K116" s="360"/>
      <c r="L116" s="360"/>
      <c r="M116" s="360"/>
      <c r="N116" s="360"/>
      <c r="O116" s="360"/>
      <c r="P116" s="360"/>
      <c r="Q116" s="360"/>
      <c r="R116" s="360"/>
      <c r="S116" s="360"/>
      <c r="T116" s="360"/>
      <c r="U116" s="360"/>
      <c r="V116" s="360"/>
      <c r="W116" s="360"/>
      <c r="X116" s="360"/>
      <c r="Y116" s="52"/>
      <c r="Z116" s="52"/>
      <c r="AA116" s="98"/>
      <c r="AB116" s="98"/>
      <c r="AC116" s="98"/>
      <c r="AD116" s="98"/>
      <c r="AE116" s="98"/>
      <c r="AF116" s="98"/>
      <c r="AG116" s="98"/>
      <c r="AH116" s="100"/>
      <c r="AI116" s="100"/>
      <c r="AJ116" s="100"/>
      <c r="AK116" s="100"/>
      <c r="AL116" s="100"/>
      <c r="AM116" s="100"/>
      <c r="AN116" s="100"/>
      <c r="AO116" s="100"/>
      <c r="AP116" s="100"/>
      <c r="AQ116" s="100"/>
      <c r="AR116" s="100"/>
      <c r="AS116" s="100"/>
      <c r="AT116" s="100"/>
      <c r="AU116" s="100"/>
      <c r="AV116" s="100"/>
      <c r="AW116" s="100"/>
      <c r="AX116" s="100"/>
      <c r="AY116" s="100"/>
      <c r="AZ116" s="100"/>
      <c r="BA116" s="100"/>
      <c r="BB116" s="100"/>
      <c r="BC116" s="100"/>
      <c r="BD116" s="100"/>
      <c r="BE116" s="100"/>
      <c r="BF116" s="100"/>
      <c r="BG116" s="100"/>
    </row>
    <row r="117" spans="1:59" s="19" customFormat="1" ht="21.75" customHeight="1" thickBot="1" x14ac:dyDescent="0.25">
      <c r="A117" s="13"/>
      <c r="B117" s="13"/>
      <c r="C117" s="13"/>
      <c r="D117" s="20"/>
      <c r="E117" s="20"/>
      <c r="F117" s="20"/>
      <c r="G117" s="20"/>
      <c r="H117" s="20"/>
      <c r="I117" s="20"/>
      <c r="Y117" s="50"/>
      <c r="Z117" s="50"/>
      <c r="AA117" s="98"/>
      <c r="AB117" s="98"/>
      <c r="AC117" s="98"/>
      <c r="AD117" s="98"/>
      <c r="AE117" s="98"/>
      <c r="AF117" s="98"/>
      <c r="AG117" s="98"/>
      <c r="AH117" s="100"/>
      <c r="AI117" s="100"/>
      <c r="AJ117" s="100"/>
      <c r="AK117" s="100"/>
      <c r="AL117" s="100"/>
      <c r="AM117" s="100"/>
      <c r="AN117" s="100"/>
      <c r="AO117" s="100"/>
      <c r="AP117" s="100"/>
      <c r="AQ117" s="100"/>
      <c r="AR117" s="100"/>
      <c r="AS117" s="100"/>
      <c r="AT117" s="100"/>
      <c r="AU117" s="100"/>
      <c r="AV117" s="100"/>
      <c r="AW117" s="100"/>
      <c r="AX117" s="100"/>
      <c r="AY117" s="100"/>
      <c r="AZ117" s="100"/>
      <c r="BA117" s="100"/>
      <c r="BB117" s="100"/>
      <c r="BC117" s="100"/>
      <c r="BD117" s="100"/>
      <c r="BE117" s="100"/>
      <c r="BF117" s="100"/>
      <c r="BG117" s="100"/>
    </row>
    <row r="118" spans="1:59" s="19" customFormat="1" ht="21.75" customHeight="1" thickBot="1" x14ac:dyDescent="0.25">
      <c r="A118" s="20"/>
      <c r="B118" s="20"/>
      <c r="C118" s="20"/>
      <c r="D118" s="356" t="str">
        <f>CONCATENATE("Estimated Envu Horizon points to be earned: ",TEXT(IF(AND(H114 &lt;&gt;"", H114 &gt; 0),H114*100, 0),"#,##0"))</f>
        <v>Estimated Envu Horizon points to be earned: 0</v>
      </c>
      <c r="E118" s="357"/>
      <c r="F118" s="357"/>
      <c r="G118" s="357"/>
      <c r="H118" s="358"/>
      <c r="I118" s="20"/>
      <c r="J118" s="20"/>
      <c r="K118" s="50"/>
      <c r="L118" s="50"/>
      <c r="M118" s="50"/>
      <c r="N118" s="50"/>
      <c r="O118" s="50"/>
      <c r="P118" s="50"/>
      <c r="Q118" s="50"/>
      <c r="R118" s="50"/>
      <c r="S118" s="50"/>
      <c r="T118" s="50"/>
      <c r="U118" s="50"/>
      <c r="V118" s="50"/>
      <c r="Y118" s="59"/>
      <c r="Z118" s="59"/>
      <c r="AA118" s="98"/>
      <c r="AB118" s="98"/>
      <c r="AC118" s="98"/>
      <c r="AD118" s="98"/>
      <c r="AE118" s="98"/>
      <c r="AF118" s="98"/>
      <c r="AG118" s="98"/>
      <c r="AH118" s="100"/>
      <c r="AI118" s="100"/>
      <c r="AJ118" s="100"/>
      <c r="AK118" s="100"/>
      <c r="AL118" s="100"/>
      <c r="AM118" s="100"/>
      <c r="AN118" s="100"/>
      <c r="AO118" s="100"/>
      <c r="AP118" s="100"/>
      <c r="AQ118" s="100"/>
      <c r="AR118" s="100"/>
      <c r="AS118" s="100"/>
      <c r="AT118" s="100"/>
      <c r="AU118" s="100"/>
      <c r="AV118" s="100"/>
      <c r="AW118" s="100"/>
      <c r="AX118" s="100"/>
      <c r="AY118" s="100"/>
      <c r="AZ118" s="100"/>
      <c r="BA118" s="100"/>
      <c r="BB118" s="100"/>
      <c r="BC118" s="100"/>
      <c r="BD118" s="100"/>
      <c r="BE118" s="100"/>
      <c r="BF118" s="100"/>
      <c r="BG118" s="100"/>
    </row>
    <row r="119" spans="1:59" s="19" customFormat="1" ht="21.75" customHeight="1" x14ac:dyDescent="0.2">
      <c r="A119" s="13"/>
      <c r="B119" s="13"/>
      <c r="C119" s="13"/>
      <c r="D119" s="13"/>
      <c r="E119" s="13"/>
      <c r="F119" s="60"/>
      <c r="G119" s="20"/>
      <c r="H119" s="20"/>
      <c r="I119" s="20"/>
      <c r="J119" s="20"/>
      <c r="K119" s="20"/>
      <c r="L119" s="20"/>
      <c r="M119" s="20"/>
      <c r="N119" s="20"/>
      <c r="O119" s="20"/>
      <c r="P119" s="20"/>
      <c r="Q119" s="20"/>
      <c r="S119" s="59"/>
      <c r="T119" s="59"/>
      <c r="U119" s="59"/>
      <c r="V119" s="59"/>
      <c r="W119" s="59"/>
      <c r="Y119" s="50"/>
      <c r="Z119" s="59"/>
      <c r="AA119" s="98"/>
      <c r="AB119" s="98"/>
      <c r="AC119" s="98"/>
      <c r="AD119" s="98"/>
      <c r="AE119" s="98"/>
      <c r="AF119" s="98"/>
      <c r="AG119" s="98"/>
      <c r="AH119" s="100"/>
      <c r="AI119" s="100"/>
      <c r="AJ119" s="100"/>
      <c r="AK119" s="100"/>
      <c r="AL119" s="100"/>
      <c r="AM119" s="100"/>
      <c r="AN119" s="100"/>
      <c r="AO119" s="100"/>
      <c r="AP119" s="100"/>
      <c r="AQ119" s="100"/>
      <c r="AR119" s="100"/>
      <c r="AS119" s="100"/>
      <c r="AT119" s="100"/>
      <c r="AU119" s="100"/>
      <c r="AV119" s="100"/>
      <c r="AW119" s="100"/>
      <c r="AX119" s="100"/>
      <c r="AY119" s="100"/>
      <c r="AZ119" s="100"/>
      <c r="BA119" s="100"/>
      <c r="BB119" s="100"/>
      <c r="BC119" s="100"/>
      <c r="BD119" s="100"/>
      <c r="BE119" s="100"/>
      <c r="BF119" s="100"/>
      <c r="BG119" s="100"/>
    </row>
    <row r="120" spans="1:59" ht="21.75" customHeight="1" x14ac:dyDescent="0.2"/>
    <row r="121" spans="1:59" ht="21.75" customHeight="1" x14ac:dyDescent="0.2">
      <c r="G121" s="60"/>
      <c r="H121" s="20"/>
      <c r="S121" s="19"/>
      <c r="T121" s="59"/>
    </row>
    <row r="122" spans="1:59" ht="21.75" customHeight="1" x14ac:dyDescent="0.2">
      <c r="G122" s="60"/>
      <c r="H122" s="20"/>
      <c r="S122" s="19"/>
      <c r="T122" s="59"/>
    </row>
    <row r="123" spans="1:59" x14ac:dyDescent="0.2">
      <c r="G123" s="60"/>
      <c r="H123" s="20"/>
      <c r="S123" s="19"/>
      <c r="T123" s="59"/>
    </row>
    <row r="124" spans="1:59" x14ac:dyDescent="0.2">
      <c r="G124" s="60"/>
      <c r="H124" s="20"/>
      <c r="S124" s="19"/>
      <c r="T124" s="59"/>
    </row>
    <row r="125" spans="1:59" x14ac:dyDescent="0.2">
      <c r="G125" s="60"/>
      <c r="H125" s="20"/>
      <c r="S125" s="19"/>
      <c r="T125" s="59"/>
    </row>
    <row r="126" spans="1:59" x14ac:dyDescent="0.2">
      <c r="G126" s="60"/>
      <c r="H126" s="20"/>
      <c r="S126" s="19"/>
      <c r="T126" s="59"/>
    </row>
    <row r="127" spans="1:59" x14ac:dyDescent="0.2">
      <c r="G127" s="60"/>
      <c r="H127" s="20"/>
      <c r="S127" s="19"/>
      <c r="T127" s="59"/>
    </row>
    <row r="128" spans="1:59" x14ac:dyDescent="0.2">
      <c r="G128" s="60"/>
      <c r="H128" s="20"/>
      <c r="S128" s="19"/>
      <c r="T128" s="59"/>
    </row>
  </sheetData>
  <sheetProtection algorithmName="SHA-512" hashValue="tVXmFTxyERYS9MfV4nu/QPRlObR0gd6vMXff4ku86/SUTsbkX1kIsrnsQS6JWl/5nWbnHxn8fAemGl4LFDLnWg==" saltValue="w/vNpVT81oro9clwUBkAgw==" spinCount="100000" sheet="1" selectLockedCells="1"/>
  <mergeCells count="54">
    <mergeCell ref="P9:Q9"/>
    <mergeCell ref="X12:X14"/>
    <mergeCell ref="S4:T4"/>
    <mergeCell ref="S5:T5"/>
    <mergeCell ref="D118:H118"/>
    <mergeCell ref="K12:K14"/>
    <mergeCell ref="G12:G14"/>
    <mergeCell ref="I100:L100"/>
    <mergeCell ref="O12:O14"/>
    <mergeCell ref="K104:X116"/>
    <mergeCell ref="D104:F104"/>
    <mergeCell ref="G104:H104"/>
    <mergeCell ref="D105:F105"/>
    <mergeCell ref="G105:H105"/>
    <mergeCell ref="D107:F107"/>
    <mergeCell ref="G107:H107"/>
    <mergeCell ref="D108:F108"/>
    <mergeCell ref="D109:F109"/>
    <mergeCell ref="D110:F110"/>
    <mergeCell ref="D111:F111"/>
    <mergeCell ref="L12:L14"/>
    <mergeCell ref="M12:M14"/>
    <mergeCell ref="N12:N14"/>
    <mergeCell ref="H12:H14"/>
    <mergeCell ref="I12:I14"/>
    <mergeCell ref="J12:J14"/>
    <mergeCell ref="A12:A14"/>
    <mergeCell ref="B12:B14"/>
    <mergeCell ref="D12:D14"/>
    <mergeCell ref="E12:E14"/>
    <mergeCell ref="F12:F14"/>
    <mergeCell ref="E1:L1"/>
    <mergeCell ref="D4:E4"/>
    <mergeCell ref="R7:R8"/>
    <mergeCell ref="S7:T8"/>
    <mergeCell ref="U7:V8"/>
    <mergeCell ref="P1:X1"/>
    <mergeCell ref="P7:Q8"/>
    <mergeCell ref="D112:F112"/>
    <mergeCell ref="D115:F115"/>
    <mergeCell ref="D116:F116"/>
    <mergeCell ref="G116:H116"/>
    <mergeCell ref="W7:X8"/>
    <mergeCell ref="S9:T9"/>
    <mergeCell ref="U9:V9"/>
    <mergeCell ref="W9:X9"/>
    <mergeCell ref="W12:W14"/>
    <mergeCell ref="Q12:Q14"/>
    <mergeCell ref="R12:R14"/>
    <mergeCell ref="S12:S14"/>
    <mergeCell ref="T12:T14"/>
    <mergeCell ref="U12:U14"/>
    <mergeCell ref="V12:V14"/>
    <mergeCell ref="P12:P14"/>
  </mergeCells>
  <conditionalFormatting sqref="W15:X67 W73:W97 P15:Q67">
    <cfRule type="cellIs" dxfId="160" priority="50" operator="equal">
      <formula>0</formula>
    </cfRule>
  </conditionalFormatting>
  <conditionalFormatting sqref="R15:R67">
    <cfRule type="expression" dxfId="159" priority="49">
      <formula>ISBLANK($H15)</formula>
    </cfRule>
  </conditionalFormatting>
  <conditionalFormatting sqref="S5 U5:X5">
    <cfRule type="expression" dxfId="158" priority="48">
      <formula>S$6=TRUE()</formula>
    </cfRule>
  </conditionalFormatting>
  <conditionalFormatting sqref="G106:G115">
    <cfRule type="cellIs" dxfId="157" priority="30" operator="equal">
      <formula>"n/a"</formula>
    </cfRule>
  </conditionalFormatting>
  <conditionalFormatting sqref="H108:H113">
    <cfRule type="cellIs" dxfId="156" priority="29" operator="equal">
      <formula>"n/a"</formula>
    </cfRule>
  </conditionalFormatting>
  <conditionalFormatting sqref="H115">
    <cfRule type="cellIs" dxfId="155" priority="28" operator="equal">
      <formula>"n/a"</formula>
    </cfRule>
  </conditionalFormatting>
  <conditionalFormatting sqref="S9:X9">
    <cfRule type="cellIs" dxfId="154" priority="14" stopIfTrue="1" operator="equal">
      <formula>"n/a"</formula>
    </cfRule>
    <cfRule type="cellIs" dxfId="153" priority="15" operator="greaterThan">
      <formula>0</formula>
    </cfRule>
  </conditionalFormatting>
  <conditionalFormatting sqref="N73:N97">
    <cfRule type="cellIs" dxfId="152" priority="12" operator="equal">
      <formula>"n/a"</formula>
    </cfRule>
  </conditionalFormatting>
  <conditionalFormatting sqref="K73:K97">
    <cfRule type="cellIs" dxfId="151" priority="11" operator="equal">
      <formula>"n/a"</formula>
    </cfRule>
  </conditionalFormatting>
  <conditionalFormatting sqref="I73:I97">
    <cfRule type="expression" dxfId="150" priority="10">
      <formula>AND(NOT(ISBLANK($H73)),ISBLANK($I73))</formula>
    </cfRule>
  </conditionalFormatting>
  <conditionalFormatting sqref="L73:L97 P73:Q97">
    <cfRule type="expression" dxfId="149" priority="9">
      <formula>AND(NOT(ISBLANK($H73)),ISBLANK($I73))</formula>
    </cfRule>
  </conditionalFormatting>
  <conditionalFormatting sqref="M100:N100">
    <cfRule type="expression" dxfId="148" priority="8">
      <formula>$AD$109&gt;0</formula>
    </cfRule>
  </conditionalFormatting>
  <conditionalFormatting sqref="L98:P98">
    <cfRule type="expression" dxfId="147" priority="7">
      <formula>$AD$109&gt;0</formula>
    </cfRule>
  </conditionalFormatting>
  <conditionalFormatting sqref="I100:L100">
    <cfRule type="expression" dxfId="146" priority="5">
      <formula>I100="**ERROR**: MISSING PRICE INPUT VALUE"</formula>
    </cfRule>
  </conditionalFormatting>
  <conditionalFormatting sqref="X73:X97">
    <cfRule type="cellIs" dxfId="145" priority="3" operator="equal">
      <formula>0</formula>
    </cfRule>
  </conditionalFormatting>
  <conditionalFormatting sqref="P9:Q9">
    <cfRule type="cellIs" dxfId="144" priority="1" stopIfTrue="1" operator="equal">
      <formula>"n/a"</formula>
    </cfRule>
    <cfRule type="cellIs" dxfId="143" priority="2" operator="greaterThan">
      <formula>0</formula>
    </cfRule>
  </conditionalFormatting>
  <dataValidations count="18">
    <dataValidation type="list" allowBlank="1" showInputMessage="1" showErrorMessage="1" sqref="R10" xr:uid="{A1C531D7-D093-44AB-81B0-4BFC0D15ADEE}">
      <formula1>"YES,NO"</formula1>
    </dataValidation>
    <dataValidation type="whole" allowBlank="1" showInputMessage="1" showErrorMessage="1" errorTitle="# Units Error" error="Must be greater than 1." sqref="H43:H45 H52:H55 H18:H39 H60:H67" xr:uid="{E2E72240-4962-4E51-B9CE-81DCA77BF868}">
      <formula1>1</formula1>
      <formula2>999999</formula2>
    </dataValidation>
    <dataValidation type="decimal" operator="greaterThan" allowBlank="1" showInputMessage="1" showErrorMessage="1" sqref="I73" xr:uid="{773599F8-C972-40A7-AD98-A03264E4B8E4}">
      <formula1>K73</formula1>
    </dataValidation>
    <dataValidation type="whole" allowBlank="1" showInputMessage="1" showErrorMessage="1" errorTitle="# Units Error" error="Must be greater than 1._x000a_" sqref="H46 H50:H51" xr:uid="{270F196A-C3D0-4F01-9F79-86B877C0ED05}">
      <formula1>1</formula1>
      <formula2>999999</formula2>
    </dataValidation>
    <dataValidation type="whole" allowBlank="1" showInputMessage="1" showErrorMessage="1" errorTitle="# Units Error" error="Must be greater than 39._x000a_" sqref="H49" xr:uid="{C7D21842-0435-45C1-9965-D560BAE08CE1}">
      <formula1>40</formula1>
      <formula2>999999</formula2>
    </dataValidation>
    <dataValidation type="decimal" operator="greaterThan" allowBlank="1" showInputMessage="1" showErrorMessage="1" error="PRICE / UNIT MUST BE GREATER THAN REBATE VALUE." sqref="I74:I97" xr:uid="{E73DF418-5DCE-4369-A9B5-C50C821B5077}">
      <formula1>K74</formula1>
    </dataValidation>
    <dataValidation type="whole" allowBlank="1" showInputMessage="1" showErrorMessage="1" errorTitle="# Units Error" error="Must be greater than 1 and less than 12._x000a_" sqref="H47" xr:uid="{28F6CA5A-E44C-4A2D-AEB9-6C350ACE7FA3}">
      <formula1>1</formula1>
      <formula2>11</formula2>
    </dataValidation>
    <dataValidation type="whole" allowBlank="1" showInputMessage="1" showErrorMessage="1" errorTitle="# Units Error" error="Must be greater than 1 and less than 4." sqref="H40" xr:uid="{EEBDD1C9-CA19-4505-A5C9-E849CD66BC94}">
      <formula1>1</formula1>
      <formula2>3</formula2>
    </dataValidation>
    <dataValidation type="whole" allowBlank="1" showInputMessage="1" showErrorMessage="1" errorTitle="# Units Error" error="Must be greater than 15." sqref="H42" xr:uid="{B90EE325-97EB-438F-8551-CAD9F3B675FC}">
      <formula1>16</formula1>
      <formula2>999999</formula2>
    </dataValidation>
    <dataValidation type="whole" allowBlank="1" showInputMessage="1" showErrorMessage="1" errorTitle="# Units Error" error="Must be greater than 3 and less than 16." sqref="H41" xr:uid="{33109B8E-B94C-4A71-9036-8A6779D0CFFD}">
      <formula1>4</formula1>
      <formula2>15</formula2>
    </dataValidation>
    <dataValidation type="whole" allowBlank="1" showInputMessage="1" showErrorMessage="1" errorTitle="# Units Error" error="Must be greater than 1 and less than 16." sqref="H15" xr:uid="{A6CFD29E-CF04-4D8C-A754-2628E3CA7E49}">
      <formula1>1</formula1>
      <formula2>15</formula2>
    </dataValidation>
    <dataValidation type="whole" allowBlank="1" showInputMessage="1" showErrorMessage="1" errorTitle="# Units Error" error="Must be greater than 15 and less than 32." sqref="H16" xr:uid="{2B3D266A-3862-41A2-85E1-DB59142DF2C3}">
      <formula1>15</formula1>
      <formula2>31</formula2>
    </dataValidation>
    <dataValidation type="whole" allowBlank="1" showInputMessage="1" showErrorMessage="1" errorTitle="# Units Error" error="Must be greater than 31." sqref="H17" xr:uid="{344ADB50-ED06-4C7C-BCD7-FD2BCC188FE7}">
      <formula1>32</formula1>
      <formula2>999999</formula2>
    </dataValidation>
    <dataValidation type="whole" allowBlank="1" showInputMessage="1" showErrorMessage="1" errorTitle="# Units Error" error="Must be greater than 11 and less than 40._x000a_" sqref="H48" xr:uid="{39AB3952-6563-4347-B29B-8B7C066ED844}">
      <formula1>12</formula1>
      <formula2>39</formula2>
    </dataValidation>
    <dataValidation type="whole" allowBlank="1" showInputMessage="1" showErrorMessage="1" errorTitle="# Units Error" error="Must be greater than 1 and less than 7." sqref="H56" xr:uid="{CA74A026-CD33-4911-AC54-4A450EE42DC8}">
      <formula1>1</formula1>
      <formula2>6</formula2>
    </dataValidation>
    <dataValidation type="whole" allowBlank="1" showInputMessage="1" showErrorMessage="1" errorTitle="# Units Error" error="Must be greater than 6 and less than 14." sqref="H57" xr:uid="{19095D48-54DF-4B4D-BA9D-BEB54313D79A}">
      <formula1>7</formula1>
      <formula2>13</formula2>
    </dataValidation>
    <dataValidation type="whole" allowBlank="1" showInputMessage="1" showErrorMessage="1" errorTitle="# Units Error" error="Must be greater than 13 and less than 26." sqref="H58" xr:uid="{35346261-E324-4711-A5DD-54F571085A57}">
      <formula1>14</formula1>
      <formula2>25</formula2>
    </dataValidation>
    <dataValidation type="whole" allowBlank="1" showInputMessage="1" showErrorMessage="1" errorTitle="# Units Error" error="Must be greater than 25." sqref="H59" xr:uid="{7DCAE3F4-DA1C-4CAD-AE4F-3A32BC0BC2FF}">
      <formula1>26</formula1>
      <formula2>999999</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B292D-5236-468E-9910-6066928F92CF}">
  <sheetPr codeName="Sheet2">
    <pageSetUpPr autoPageBreaks="0" fitToPage="1"/>
  </sheetPr>
  <dimension ref="A1:R128"/>
  <sheetViews>
    <sheetView showGridLines="0" topLeftCell="C52" zoomScale="72" zoomScaleNormal="85" workbookViewId="0">
      <selection activeCell="C2" sqref="C2:L2"/>
    </sheetView>
  </sheetViews>
  <sheetFormatPr baseColWidth="10" defaultColWidth="9.1640625" defaultRowHeight="24" customHeight="1" x14ac:dyDescent="0.2"/>
  <cols>
    <col min="1" max="1" width="13.6640625" hidden="1" customWidth="1"/>
    <col min="2" max="2" width="8.5" hidden="1" customWidth="1"/>
    <col min="3" max="3" width="3.5" customWidth="1"/>
    <col min="4" max="4" width="70.5" bestFit="1" customWidth="1"/>
    <col min="5" max="5" width="11.5" bestFit="1" customWidth="1"/>
    <col min="6" max="6" width="12.5" style="1" bestFit="1" customWidth="1"/>
    <col min="7" max="7" width="9.5" style="1" bestFit="1" customWidth="1"/>
    <col min="8" max="8" width="26" bestFit="1" customWidth="1"/>
    <col min="9" max="9" width="18.5" bestFit="1" customWidth="1"/>
    <col min="10" max="10" width="27" bestFit="1" customWidth="1"/>
    <col min="11" max="11" width="25.5" bestFit="1" customWidth="1"/>
    <col min="12" max="12" width="17.33203125" bestFit="1" customWidth="1"/>
  </cols>
  <sheetData>
    <row r="1" spans="1:14" ht="24" customHeight="1" x14ac:dyDescent="0.2">
      <c r="D1" s="14"/>
      <c r="E1" s="14"/>
      <c r="F1" s="14"/>
      <c r="G1" s="14"/>
      <c r="H1" s="14"/>
      <c r="I1" s="61"/>
      <c r="J1" s="62"/>
      <c r="K1" s="63"/>
      <c r="L1" s="63"/>
      <c r="M1" s="63"/>
    </row>
    <row r="2" spans="1:14" ht="24" customHeight="1" x14ac:dyDescent="0.2">
      <c r="D2" s="371" t="str">
        <f>Estimates!D4</f>
        <v>NAME YOUR DRAFT ORDER HERE:</v>
      </c>
      <c r="E2" s="372"/>
      <c r="F2" s="372"/>
      <c r="G2" s="372"/>
      <c r="H2" s="373"/>
      <c r="I2" s="61"/>
      <c r="J2" s="62"/>
      <c r="K2" s="63"/>
      <c r="L2" s="63"/>
      <c r="M2" s="63"/>
    </row>
    <row r="3" spans="1:14" ht="24" customHeight="1" x14ac:dyDescent="0.2">
      <c r="D3" s="64" t="s">
        <v>9</v>
      </c>
      <c r="E3" s="368" t="s">
        <v>115</v>
      </c>
      <c r="F3" s="369"/>
      <c r="G3" s="369"/>
      <c r="H3" s="370"/>
      <c r="I3" s="61"/>
      <c r="J3" s="62"/>
      <c r="K3" s="63"/>
      <c r="L3" s="63"/>
      <c r="M3" s="63"/>
    </row>
    <row r="4" spans="1:14" ht="24" customHeight="1" x14ac:dyDescent="0.2">
      <c r="D4" s="65" t="s">
        <v>116</v>
      </c>
      <c r="E4" s="368" t="s">
        <v>115</v>
      </c>
      <c r="F4" s="369"/>
      <c r="G4" s="369"/>
      <c r="H4" s="370"/>
      <c r="I4" s="61"/>
      <c r="J4" s="62"/>
      <c r="K4" s="63"/>
      <c r="L4" s="63"/>
      <c r="M4" s="63"/>
    </row>
    <row r="5" spans="1:14" ht="24" customHeight="1" x14ac:dyDescent="0.2">
      <c r="D5" s="160" t="s">
        <v>117</v>
      </c>
      <c r="E5" s="368" t="s">
        <v>115</v>
      </c>
      <c r="F5" s="369"/>
      <c r="G5" s="369"/>
      <c r="H5" s="370"/>
      <c r="I5" s="61"/>
      <c r="J5" s="62"/>
      <c r="K5" s="63"/>
      <c r="L5" s="63"/>
      <c r="M5" s="63"/>
    </row>
    <row r="6" spans="1:14" ht="24" customHeight="1" x14ac:dyDescent="0.2">
      <c r="D6" s="66" t="s">
        <v>18</v>
      </c>
      <c r="E6" s="368" t="s">
        <v>115</v>
      </c>
      <c r="F6" s="369"/>
      <c r="G6" s="369"/>
      <c r="H6" s="370"/>
      <c r="I6" s="61"/>
      <c r="J6" s="62"/>
      <c r="K6" s="63"/>
      <c r="L6" s="63"/>
      <c r="M6" s="63"/>
      <c r="N6" s="67"/>
    </row>
    <row r="7" spans="1:14" ht="24" customHeight="1" x14ac:dyDescent="0.2">
      <c r="D7" s="66" t="s">
        <v>19</v>
      </c>
      <c r="E7" s="368" t="s">
        <v>115</v>
      </c>
      <c r="F7" s="369"/>
      <c r="G7" s="369"/>
      <c r="H7" s="370"/>
      <c r="I7" s="61"/>
      <c r="J7" s="62"/>
      <c r="K7" s="63"/>
      <c r="L7" s="63"/>
      <c r="M7" s="63"/>
    </row>
    <row r="8" spans="1:14" ht="24" customHeight="1" x14ac:dyDescent="0.2">
      <c r="E8" s="62"/>
      <c r="F8" s="69"/>
      <c r="G8" s="69"/>
      <c r="H8" s="62"/>
      <c r="I8" s="62"/>
      <c r="J8" s="62"/>
      <c r="K8" s="63"/>
      <c r="L8" s="63"/>
      <c r="M8" s="63"/>
      <c r="N8" s="67"/>
    </row>
    <row r="9" spans="1:14" ht="24" customHeight="1" x14ac:dyDescent="0.2">
      <c r="D9" s="68" t="s">
        <v>118</v>
      </c>
      <c r="E9" s="62"/>
      <c r="F9" s="69"/>
      <c r="G9" s="69"/>
      <c r="H9" s="62"/>
      <c r="I9" s="62"/>
      <c r="J9" s="62"/>
      <c r="K9" s="63"/>
      <c r="L9" s="63"/>
      <c r="M9" s="63"/>
      <c r="N9" s="67"/>
    </row>
    <row r="10" spans="1:14" ht="24" customHeight="1" thickBot="1" x14ac:dyDescent="0.25">
      <c r="D10" s="71"/>
      <c r="E10" s="71"/>
      <c r="F10" s="71"/>
      <c r="G10" s="71"/>
      <c r="H10" s="63"/>
      <c r="I10" s="63"/>
      <c r="J10" s="63"/>
      <c r="K10" s="63"/>
      <c r="L10" s="63"/>
      <c r="M10" s="63"/>
    </row>
    <row r="11" spans="1:14" ht="24" customHeight="1" x14ac:dyDescent="0.2">
      <c r="A11" s="380" t="s">
        <v>119</v>
      </c>
      <c r="B11" s="382" t="s">
        <v>120</v>
      </c>
      <c r="D11" s="387" t="s">
        <v>28</v>
      </c>
      <c r="E11" s="390" t="s">
        <v>29</v>
      </c>
      <c r="F11" s="390" t="s">
        <v>121</v>
      </c>
      <c r="G11" s="393" t="s">
        <v>31</v>
      </c>
      <c r="H11" s="396" t="s">
        <v>122</v>
      </c>
      <c r="I11" s="396" t="s">
        <v>123</v>
      </c>
      <c r="J11" s="396" t="s">
        <v>124</v>
      </c>
      <c r="K11" s="396" t="s">
        <v>125</v>
      </c>
      <c r="L11" s="384" t="s">
        <v>126</v>
      </c>
      <c r="M11" s="63"/>
    </row>
    <row r="12" spans="1:14" ht="24" customHeight="1" x14ac:dyDescent="0.2">
      <c r="A12" s="381"/>
      <c r="B12" s="383"/>
      <c r="D12" s="388"/>
      <c r="E12" s="391"/>
      <c r="F12" s="391"/>
      <c r="G12" s="394"/>
      <c r="H12" s="397"/>
      <c r="I12" s="397"/>
      <c r="J12" s="397"/>
      <c r="K12" s="397"/>
      <c r="L12" s="385"/>
      <c r="M12" s="63"/>
    </row>
    <row r="13" spans="1:14" ht="24" customHeight="1" thickBot="1" x14ac:dyDescent="0.25">
      <c r="A13" s="381"/>
      <c r="B13" s="383"/>
      <c r="D13" s="389"/>
      <c r="E13" s="392"/>
      <c r="F13" s="392"/>
      <c r="G13" s="395"/>
      <c r="H13" s="398"/>
      <c r="I13" s="398"/>
      <c r="J13" s="398"/>
      <c r="K13" s="398"/>
      <c r="L13" s="386"/>
      <c r="M13" s="63"/>
    </row>
    <row r="14" spans="1:14" ht="24" customHeight="1" x14ac:dyDescent="0.2">
      <c r="A14" s="157" t="s">
        <v>48</v>
      </c>
      <c r="B14" t="b">
        <f>G14&gt;0</f>
        <v>0</v>
      </c>
      <c r="D14" s="286" t="str">
        <f>Estimates!E15</f>
        <v>Altus®</v>
      </c>
      <c r="E14" s="287" t="str">
        <f>Estimates!F15</f>
        <v>64 oz</v>
      </c>
      <c r="F14" s="287" t="str">
        <f>Estimates!G15</f>
        <v>Insecticide</v>
      </c>
      <c r="G14" s="288">
        <f>Estimates!H15</f>
        <v>0</v>
      </c>
      <c r="H14" s="289">
        <f>Estimates!I15</f>
        <v>471.04</v>
      </c>
      <c r="I14" s="289">
        <f>Estimates!K15</f>
        <v>471.04</v>
      </c>
      <c r="J14" s="290" t="str">
        <f>Estimates!L15</f>
        <v/>
      </c>
      <c r="K14" s="290" t="str">
        <f>Estimates!S15</f>
        <v/>
      </c>
      <c r="L14" s="291" t="e">
        <f>K14/G14</f>
        <v>#VALUE!</v>
      </c>
      <c r="M14" s="63"/>
    </row>
    <row r="15" spans="1:14" ht="24" customHeight="1" x14ac:dyDescent="0.2">
      <c r="A15" s="153" t="s">
        <v>49</v>
      </c>
      <c r="B15" t="b">
        <f t="shared" ref="B15:B56" si="0">G15&gt;0</f>
        <v>0</v>
      </c>
      <c r="D15" s="263" t="str">
        <f>Estimates!E16</f>
        <v>Altus®</v>
      </c>
      <c r="E15" s="251" t="str">
        <f>Estimates!F16</f>
        <v>64 oz</v>
      </c>
      <c r="F15" s="251" t="str">
        <f>Estimates!G16</f>
        <v>Insecticide</v>
      </c>
      <c r="G15" s="252">
        <f>Estimates!H16</f>
        <v>0</v>
      </c>
      <c r="H15" s="254">
        <f>Estimates!I16</f>
        <v>471.04</v>
      </c>
      <c r="I15" s="254">
        <f>Estimates!K16</f>
        <v>447.36</v>
      </c>
      <c r="J15" s="255" t="str">
        <f>Estimates!L16</f>
        <v/>
      </c>
      <c r="K15" s="255" t="str">
        <f>Estimates!S16</f>
        <v/>
      </c>
      <c r="L15" s="264" t="e">
        <f t="shared" ref="L15:L66" si="1">K15/G15</f>
        <v>#VALUE!</v>
      </c>
      <c r="M15" s="63"/>
    </row>
    <row r="16" spans="1:14" ht="24" customHeight="1" x14ac:dyDescent="0.2">
      <c r="A16" s="153" t="s">
        <v>50</v>
      </c>
      <c r="B16" t="b">
        <f t="shared" si="0"/>
        <v>0</v>
      </c>
      <c r="D16" s="263" t="str">
        <f>Estimates!E17</f>
        <v>Altus®</v>
      </c>
      <c r="E16" s="251" t="str">
        <f>Estimates!F17</f>
        <v>64 oz</v>
      </c>
      <c r="F16" s="251" t="str">
        <f>Estimates!G17</f>
        <v>Insecticide</v>
      </c>
      <c r="G16" s="252">
        <f>Estimates!H17</f>
        <v>0</v>
      </c>
      <c r="H16" s="254">
        <f>Estimates!I17</f>
        <v>471.04</v>
      </c>
      <c r="I16" s="254">
        <f>Estimates!K17</f>
        <v>423.68</v>
      </c>
      <c r="J16" s="255" t="str">
        <f>Estimates!L17</f>
        <v/>
      </c>
      <c r="K16" s="255" t="str">
        <f>Estimates!S17</f>
        <v/>
      </c>
      <c r="L16" s="264" t="e">
        <f t="shared" si="1"/>
        <v>#VALUE!</v>
      </c>
      <c r="M16" s="63"/>
    </row>
    <row r="17" spans="1:13" ht="24" customHeight="1" x14ac:dyDescent="0.2">
      <c r="A17" s="152" t="s">
        <v>51</v>
      </c>
      <c r="B17" t="b">
        <f t="shared" si="0"/>
        <v>0</v>
      </c>
      <c r="D17" s="263" t="str">
        <f>Estimates!E18</f>
        <v>Banol®</v>
      </c>
      <c r="E17" s="251" t="str">
        <f>Estimates!F18</f>
        <v xml:space="preserve">2.5 gal </v>
      </c>
      <c r="F17" s="251" t="str">
        <f>Estimates!G18</f>
        <v>Fungicide</v>
      </c>
      <c r="G17" s="252">
        <f>Estimates!H18</f>
        <v>0</v>
      </c>
      <c r="H17" s="254">
        <f>Estimates!I18</f>
        <v>1363.2</v>
      </c>
      <c r="I17" s="254">
        <f>Estimates!K18</f>
        <v>1363.2</v>
      </c>
      <c r="J17" s="255" t="str">
        <f>Estimates!L18</f>
        <v/>
      </c>
      <c r="K17" s="255" t="str">
        <f>Estimates!S18</f>
        <v/>
      </c>
      <c r="L17" s="264" t="e">
        <f t="shared" si="1"/>
        <v>#VALUE!</v>
      </c>
      <c r="M17" s="63"/>
    </row>
    <row r="18" spans="1:13" ht="24" customHeight="1" x14ac:dyDescent="0.2">
      <c r="A18" s="153" t="s">
        <v>52</v>
      </c>
      <c r="B18" t="b">
        <f t="shared" si="0"/>
        <v>0</v>
      </c>
      <c r="D18" s="263" t="str">
        <f>Estimates!E19</f>
        <v>Castlon®</v>
      </c>
      <c r="E18" s="251" t="str">
        <f>Estimates!F19</f>
        <v>16 oz</v>
      </c>
      <c r="F18" s="251" t="str">
        <f>Estimates!G19</f>
        <v>Fungicide</v>
      </c>
      <c r="G18" s="252">
        <f>Estimates!H19</f>
        <v>0</v>
      </c>
      <c r="H18" s="254">
        <f>Estimates!I19</f>
        <v>357.92</v>
      </c>
      <c r="I18" s="254">
        <f>Estimates!K19</f>
        <v>305.60000000000002</v>
      </c>
      <c r="J18" s="255" t="str">
        <f>Estimates!L19</f>
        <v/>
      </c>
      <c r="K18" s="255" t="str">
        <f>Estimates!S19</f>
        <v/>
      </c>
      <c r="L18" s="264" t="e">
        <f t="shared" si="1"/>
        <v>#VALUE!</v>
      </c>
      <c r="M18" s="63"/>
    </row>
    <row r="19" spans="1:13" ht="24" customHeight="1" x14ac:dyDescent="0.2">
      <c r="A19" s="153" t="s">
        <v>53</v>
      </c>
      <c r="B19" t="b">
        <f t="shared" si="0"/>
        <v>0</v>
      </c>
      <c r="D19" s="263" t="str">
        <f>Estimates!E20</f>
        <v>Castlon®</v>
      </c>
      <c r="E19" s="251" t="str">
        <f>Estimates!F20</f>
        <v>1 gal</v>
      </c>
      <c r="F19" s="251" t="str">
        <f>Estimates!G20</f>
        <v>Fungicide</v>
      </c>
      <c r="G19" s="252">
        <f>Estimates!H20</f>
        <v>0</v>
      </c>
      <c r="H19" s="254">
        <f>Estimates!I20</f>
        <v>2298.88</v>
      </c>
      <c r="I19" s="254">
        <f>Estimates!K20</f>
        <v>2298.88</v>
      </c>
      <c r="J19" s="255" t="str">
        <f>Estimates!L20</f>
        <v/>
      </c>
      <c r="K19" s="255" t="str">
        <f>Estimates!S20</f>
        <v/>
      </c>
      <c r="L19" s="264" t="e">
        <f t="shared" si="1"/>
        <v>#VALUE!</v>
      </c>
      <c r="M19" s="63"/>
    </row>
    <row r="20" spans="1:13" ht="24" customHeight="1" x14ac:dyDescent="0.2">
      <c r="A20" s="153" t="s">
        <v>54</v>
      </c>
      <c r="B20" t="b">
        <f t="shared" si="0"/>
        <v>0</v>
      </c>
      <c r="D20" s="263" t="str">
        <f>Estimates!E21</f>
        <v>Celsius® WG</v>
      </c>
      <c r="E20" s="251" t="str">
        <f>Estimates!F21</f>
        <v>10 oz</v>
      </c>
      <c r="F20" s="251" t="str">
        <f>Estimates!G21</f>
        <v>Herbicide</v>
      </c>
      <c r="G20" s="252">
        <f>Estimates!H21</f>
        <v>0</v>
      </c>
      <c r="H20" s="254">
        <f>Estimates!I21</f>
        <v>137.19999999999999</v>
      </c>
      <c r="I20" s="254">
        <f>Estimates!K21</f>
        <v>133.19999999999999</v>
      </c>
      <c r="J20" s="255" t="str">
        <f>Estimates!L21</f>
        <v/>
      </c>
      <c r="K20" s="255" t="str">
        <f>Estimates!S21</f>
        <v/>
      </c>
      <c r="L20" s="264" t="e">
        <f t="shared" si="1"/>
        <v>#VALUE!</v>
      </c>
      <c r="M20" s="63"/>
    </row>
    <row r="21" spans="1:13" ht="24" customHeight="1" x14ac:dyDescent="0.2">
      <c r="A21" s="152" t="s">
        <v>55</v>
      </c>
      <c r="B21" t="b">
        <f t="shared" si="0"/>
        <v>0</v>
      </c>
      <c r="D21" s="263" t="str">
        <f>Estimates!E22</f>
        <v>Celsius® XTRA</v>
      </c>
      <c r="E21" s="251" t="str">
        <f>Estimates!F22</f>
        <v>10 oz</v>
      </c>
      <c r="F21" s="251" t="str">
        <f>Estimates!G22</f>
        <v>Herbicide</v>
      </c>
      <c r="G21" s="252">
        <f>Estimates!H22</f>
        <v>0</v>
      </c>
      <c r="H21" s="254">
        <f>Estimates!I22</f>
        <v>165.3</v>
      </c>
      <c r="I21" s="254">
        <f>Estimates!K22</f>
        <v>165.3</v>
      </c>
      <c r="J21" s="255" t="str">
        <f>Estimates!L22</f>
        <v/>
      </c>
      <c r="K21" s="255" t="str">
        <f>Estimates!S22</f>
        <v/>
      </c>
      <c r="L21" s="264" t="e">
        <f t="shared" si="1"/>
        <v>#VALUE!</v>
      </c>
      <c r="M21" s="63"/>
    </row>
    <row r="22" spans="1:13" ht="24" customHeight="1" x14ac:dyDescent="0.2">
      <c r="A22" s="153" t="s">
        <v>56</v>
      </c>
      <c r="B22" t="b">
        <f t="shared" si="0"/>
        <v>0</v>
      </c>
      <c r="D22" s="263" t="str">
        <f>Estimates!E23</f>
        <v>Chipco® Signature™</v>
      </c>
      <c r="E22" s="251" t="str">
        <f>Estimates!F23</f>
        <v>11 lb</v>
      </c>
      <c r="F22" s="251" t="str">
        <f>Estimates!G23</f>
        <v>Fungicide</v>
      </c>
      <c r="G22" s="252">
        <f>Estimates!H23</f>
        <v>0</v>
      </c>
      <c r="H22" s="254">
        <f>Estimates!I23</f>
        <v>431.64</v>
      </c>
      <c r="I22" s="254">
        <f>Estimates!K23</f>
        <v>431.64</v>
      </c>
      <c r="J22" s="255" t="str">
        <f>Estimates!L23</f>
        <v/>
      </c>
      <c r="K22" s="255" t="str">
        <f>Estimates!S23</f>
        <v/>
      </c>
      <c r="L22" s="264" t="e">
        <f t="shared" si="1"/>
        <v>#VALUE!</v>
      </c>
      <c r="M22" s="63"/>
    </row>
    <row r="23" spans="1:13" ht="24" customHeight="1" x14ac:dyDescent="0.2">
      <c r="A23" s="152" t="s">
        <v>57</v>
      </c>
      <c r="B23" t="b">
        <f t="shared" si="0"/>
        <v>0</v>
      </c>
      <c r="D23" s="263" t="str">
        <f>Estimates!E24</f>
        <v>Densicor®</v>
      </c>
      <c r="E23" s="251" t="str">
        <f>Estimates!F24</f>
        <v>51 oz</v>
      </c>
      <c r="F23" s="251" t="str">
        <f>Estimates!G24</f>
        <v>Fungicide</v>
      </c>
      <c r="G23" s="252">
        <f>Estimates!H24</f>
        <v>0</v>
      </c>
      <c r="H23" s="254">
        <f>Estimates!I24</f>
        <v>712.98</v>
      </c>
      <c r="I23" s="254">
        <f>Estimates!K24</f>
        <v>712.98</v>
      </c>
      <c r="J23" s="255" t="str">
        <f>Estimates!L24</f>
        <v/>
      </c>
      <c r="K23" s="255" t="str">
        <f>Estimates!S24</f>
        <v/>
      </c>
      <c r="L23" s="264" t="e">
        <f t="shared" si="1"/>
        <v>#VALUE!</v>
      </c>
      <c r="M23" s="63"/>
    </row>
    <row r="24" spans="1:13" ht="24" customHeight="1" x14ac:dyDescent="0.2">
      <c r="A24" s="153">
        <v>11008409</v>
      </c>
      <c r="B24" t="b">
        <f t="shared" si="0"/>
        <v>0</v>
      </c>
      <c r="D24" s="263" t="str">
        <f>Estimates!E25</f>
        <v>Dismiss® NXT Herbicide</v>
      </c>
      <c r="E24" s="251" t="str">
        <f>Estimates!F25</f>
        <v>10 oz</v>
      </c>
      <c r="F24" s="251" t="str">
        <f>Estimates!G25</f>
        <v>Herbicide</v>
      </c>
      <c r="G24" s="252">
        <f>Estimates!H25</f>
        <v>0</v>
      </c>
      <c r="H24" s="254">
        <f>Estimates!I25</f>
        <v>99.1</v>
      </c>
      <c r="I24" s="254">
        <f>Estimates!K25</f>
        <v>94.3</v>
      </c>
      <c r="J24" s="255" t="str">
        <f>Estimates!L25</f>
        <v/>
      </c>
      <c r="K24" s="255" t="str">
        <f>Estimates!S25</f>
        <v/>
      </c>
      <c r="L24" s="264" t="e">
        <f t="shared" si="1"/>
        <v>#VALUE!</v>
      </c>
      <c r="M24" s="63"/>
    </row>
    <row r="25" spans="1:13" ht="24" customHeight="1" x14ac:dyDescent="0.2">
      <c r="A25" s="153">
        <v>11008589</v>
      </c>
      <c r="B25" t="b">
        <f t="shared" si="0"/>
        <v>0</v>
      </c>
      <c r="D25" s="263" t="str">
        <f>Estimates!E26</f>
        <v>Dismiss® NXT Herbicide</v>
      </c>
      <c r="E25" s="251" t="str">
        <f>Estimates!F26</f>
        <v>60 oz</v>
      </c>
      <c r="F25" s="251" t="str">
        <f>Estimates!G26</f>
        <v>Herbicide</v>
      </c>
      <c r="G25" s="252">
        <f>Estimates!H26</f>
        <v>0</v>
      </c>
      <c r="H25" s="254">
        <f>Estimates!I26</f>
        <v>528</v>
      </c>
      <c r="I25" s="254">
        <f>Estimates!K26</f>
        <v>512.4</v>
      </c>
      <c r="J25" s="255" t="str">
        <f>Estimates!L26</f>
        <v/>
      </c>
      <c r="K25" s="255" t="str">
        <f>Estimates!S26</f>
        <v/>
      </c>
      <c r="L25" s="264" t="e">
        <f t="shared" si="1"/>
        <v>#VALUE!</v>
      </c>
      <c r="M25" s="63"/>
    </row>
    <row r="26" spans="1:13" ht="24" customHeight="1" x14ac:dyDescent="0.2">
      <c r="A26" s="158">
        <v>11015390</v>
      </c>
      <c r="B26" t="b">
        <f t="shared" si="0"/>
        <v>0</v>
      </c>
      <c r="D26" s="263" t="str">
        <f>Estimates!E27</f>
        <v xml:space="preserve">Durentis® Insecticide  </v>
      </c>
      <c r="E26" s="251" t="str">
        <f>Estimates!F27</f>
        <v>16 oz</v>
      </c>
      <c r="F26" s="251" t="str">
        <f>Estimates!G27</f>
        <v>Insecticide</v>
      </c>
      <c r="G26" s="252">
        <f>Estimates!H27</f>
        <v>0</v>
      </c>
      <c r="H26" s="254">
        <f>Estimates!I27</f>
        <v>658.72</v>
      </c>
      <c r="I26" s="254">
        <f>Estimates!K27</f>
        <v>560.64</v>
      </c>
      <c r="J26" s="255" t="str">
        <f>Estimates!L27</f>
        <v/>
      </c>
      <c r="K26" s="255" t="str">
        <f>Estimates!S27</f>
        <v/>
      </c>
      <c r="L26" s="264" t="e">
        <f t="shared" si="1"/>
        <v>#VALUE!</v>
      </c>
      <c r="M26" s="63"/>
    </row>
    <row r="27" spans="1:13" ht="24" customHeight="1" x14ac:dyDescent="0.2">
      <c r="A27" s="153">
        <v>11015391</v>
      </c>
      <c r="B27" t="b">
        <f t="shared" si="0"/>
        <v>0</v>
      </c>
      <c r="D27" s="263" t="str">
        <f>Estimates!E28</f>
        <v xml:space="preserve">Durentis® Insecticide  </v>
      </c>
      <c r="E27" s="251" t="str">
        <f>Estimates!F28</f>
        <v>64 oz</v>
      </c>
      <c r="F27" s="251" t="str">
        <f>Estimates!G28</f>
        <v>Insecticide</v>
      </c>
      <c r="G27" s="252">
        <f>Estimates!H28</f>
        <v>0</v>
      </c>
      <c r="H27" s="254">
        <f>Estimates!I28</f>
        <v>2470.4</v>
      </c>
      <c r="I27" s="254">
        <f>Estimates!K28</f>
        <v>2100.48</v>
      </c>
      <c r="J27" s="255" t="str">
        <f>Estimates!L28</f>
        <v/>
      </c>
      <c r="K27" s="255" t="str">
        <f>Estimates!S28</f>
        <v/>
      </c>
      <c r="L27" s="264" t="e">
        <f t="shared" si="1"/>
        <v>#VALUE!</v>
      </c>
      <c r="M27" s="63"/>
    </row>
    <row r="28" spans="1:13" ht="24" customHeight="1" x14ac:dyDescent="0.2">
      <c r="A28" s="153">
        <v>11008464</v>
      </c>
      <c r="B28" t="b">
        <f t="shared" si="0"/>
        <v>0</v>
      </c>
      <c r="D28" s="263" t="str">
        <f>Estimates!E29</f>
        <v>Echelon® 4SC Herbicide</v>
      </c>
      <c r="E28" s="251" t="str">
        <f>Estimates!F29</f>
        <v>1 gal</v>
      </c>
      <c r="F28" s="251" t="str">
        <f>Estimates!G29</f>
        <v>Herbicide</v>
      </c>
      <c r="G28" s="252">
        <f>Estimates!H29</f>
        <v>0</v>
      </c>
      <c r="H28" s="254">
        <f>Estimates!I29</f>
        <v>464.64</v>
      </c>
      <c r="I28" s="254">
        <f>Estimates!K29</f>
        <v>464.64</v>
      </c>
      <c r="J28" s="255" t="str">
        <f>Estimates!L29</f>
        <v/>
      </c>
      <c r="K28" s="255" t="str">
        <f>Estimates!S29</f>
        <v/>
      </c>
      <c r="L28" s="264" t="e">
        <f t="shared" si="1"/>
        <v>#VALUE!</v>
      </c>
      <c r="M28" s="63"/>
    </row>
    <row r="29" spans="1:13" ht="24" customHeight="1" x14ac:dyDescent="0.2">
      <c r="A29" s="152" t="s">
        <v>58</v>
      </c>
      <c r="B29" t="b">
        <f t="shared" si="0"/>
        <v>0</v>
      </c>
      <c r="D29" s="263" t="str">
        <f>Estimates!E30</f>
        <v>Exteris® Stressgard®</v>
      </c>
      <c r="E29" s="251" t="str">
        <f>Estimates!F30</f>
        <v> 2.5 gal</v>
      </c>
      <c r="F29" s="251" t="str">
        <f>Estimates!G30</f>
        <v>Fungicide</v>
      </c>
      <c r="G29" s="252">
        <f>Estimates!H30</f>
        <v>0</v>
      </c>
      <c r="H29" s="254">
        <f>Estimates!I30</f>
        <v>387.2</v>
      </c>
      <c r="I29" s="254">
        <f>Estimates!K30</f>
        <v>387.2</v>
      </c>
      <c r="J29" s="255" t="str">
        <f>Estimates!L30</f>
        <v/>
      </c>
      <c r="K29" s="255" t="str">
        <f>Estimates!S30</f>
        <v/>
      </c>
      <c r="L29" s="264" t="e">
        <f t="shared" si="1"/>
        <v>#VALUE!</v>
      </c>
      <c r="M29" s="63"/>
    </row>
    <row r="30" spans="1:13" ht="24" customHeight="1" x14ac:dyDescent="0.2">
      <c r="A30" s="153">
        <v>11008377</v>
      </c>
      <c r="B30" t="b">
        <f t="shared" si="0"/>
        <v>0</v>
      </c>
      <c r="D30" s="263" t="str">
        <f>Estimates!E31</f>
        <v>Fame® +C Fungicide</v>
      </c>
      <c r="E30" s="251" t="str">
        <f>Estimates!F31</f>
        <v>2.5 gal</v>
      </c>
      <c r="F30" s="251" t="str">
        <f>Estimates!G31</f>
        <v>Fungicide</v>
      </c>
      <c r="G30" s="252">
        <f>Estimates!H31</f>
        <v>0</v>
      </c>
      <c r="H30" s="254">
        <f>Estimates!I31</f>
        <v>630.4</v>
      </c>
      <c r="I30" s="254">
        <f>Estimates!K31</f>
        <v>630.4</v>
      </c>
      <c r="J30" s="255" t="str">
        <f>Estimates!L31</f>
        <v/>
      </c>
      <c r="K30" s="255" t="str">
        <f>Estimates!S31</f>
        <v/>
      </c>
      <c r="L30" s="264" t="e">
        <f t="shared" si="1"/>
        <v>#VALUE!</v>
      </c>
      <c r="M30" s="63"/>
    </row>
    <row r="31" spans="1:13" ht="24" customHeight="1" x14ac:dyDescent="0.2">
      <c r="A31" s="153">
        <v>11008393</v>
      </c>
      <c r="B31" t="b">
        <f t="shared" si="0"/>
        <v>0</v>
      </c>
      <c r="D31" s="263" t="str">
        <f>Estimates!E32</f>
        <v>Fame® SC Fungicide</v>
      </c>
      <c r="E31" s="251" t="str">
        <f>Estimates!F32</f>
        <v>16 oz</v>
      </c>
      <c r="F31" s="251" t="str">
        <f>Estimates!G32</f>
        <v>Fungicide</v>
      </c>
      <c r="G31" s="252">
        <f>Estimates!H32</f>
        <v>0</v>
      </c>
      <c r="H31" s="254">
        <f>Estimates!I32</f>
        <v>456.48</v>
      </c>
      <c r="I31" s="254">
        <f>Estimates!K32</f>
        <v>456.48</v>
      </c>
      <c r="J31" s="255" t="str">
        <f>Estimates!L32</f>
        <v/>
      </c>
      <c r="K31" s="255" t="str">
        <f>Estimates!S32</f>
        <v/>
      </c>
      <c r="L31" s="264" t="e">
        <f t="shared" si="1"/>
        <v>#VALUE!</v>
      </c>
      <c r="M31" s="63"/>
    </row>
    <row r="32" spans="1:13" ht="24" customHeight="1" x14ac:dyDescent="0.2">
      <c r="A32" s="153">
        <v>11008557</v>
      </c>
      <c r="B32" t="b">
        <f t="shared" si="0"/>
        <v>0</v>
      </c>
      <c r="D32" s="263" t="str">
        <f>Estimates!E33</f>
        <v>Fame® SC Fungicide</v>
      </c>
      <c r="E32" s="251" t="str">
        <f>Estimates!F33</f>
        <v>64 oz</v>
      </c>
      <c r="F32" s="251" t="str">
        <f>Estimates!G33</f>
        <v>Fungicide</v>
      </c>
      <c r="G32" s="252">
        <f>Estimates!H33</f>
        <v>0</v>
      </c>
      <c r="H32" s="254">
        <f>Estimates!I33</f>
        <v>1652.48</v>
      </c>
      <c r="I32" s="254">
        <f>Estimates!K33</f>
        <v>1652.48</v>
      </c>
      <c r="J32" s="255" t="str">
        <f>Estimates!L33</f>
        <v/>
      </c>
      <c r="K32" s="255" t="str">
        <f>Estimates!S33</f>
        <v/>
      </c>
      <c r="L32" s="264" t="e">
        <f t="shared" si="1"/>
        <v>#VALUE!</v>
      </c>
      <c r="M32" s="63"/>
    </row>
    <row r="33" spans="1:13" ht="24" customHeight="1" x14ac:dyDescent="0.2">
      <c r="A33" s="152">
        <v>11009500</v>
      </c>
      <c r="B33" t="b">
        <f t="shared" si="0"/>
        <v>0</v>
      </c>
      <c r="D33" s="263" t="str">
        <f>Estimates!E34</f>
        <v>Fame® SC Fungicide</v>
      </c>
      <c r="E33" s="251" t="str">
        <f>Estimates!F34</f>
        <v>2.5 gal</v>
      </c>
      <c r="F33" s="251" t="str">
        <f>Estimates!G34</f>
        <v>Fungicide</v>
      </c>
      <c r="G33" s="252">
        <f>Estimates!H34</f>
        <v>0</v>
      </c>
      <c r="H33" s="254">
        <f>Estimates!I34</f>
        <v>7462.4</v>
      </c>
      <c r="I33" s="254">
        <f>Estimates!K34</f>
        <v>7462.4</v>
      </c>
      <c r="J33" s="255" t="str">
        <f>Estimates!L34</f>
        <v/>
      </c>
      <c r="K33" s="255" t="str">
        <f>Estimates!S34</f>
        <v/>
      </c>
      <c r="L33" s="264" t="e">
        <f t="shared" si="1"/>
        <v>#VALUE!</v>
      </c>
      <c r="M33" s="63"/>
    </row>
    <row r="34" spans="1:13" ht="24" customHeight="1" x14ac:dyDescent="0.2">
      <c r="A34" s="153" t="s">
        <v>59</v>
      </c>
      <c r="B34" t="b">
        <f t="shared" si="0"/>
        <v>0</v>
      </c>
      <c r="D34" s="263" t="str">
        <f>Estimates!E35</f>
        <v>Fiata® Stressgard®</v>
      </c>
      <c r="E34" s="251" t="str">
        <f>Estimates!F35</f>
        <v> 2.5 gal</v>
      </c>
      <c r="F34" s="251" t="str">
        <f>Estimates!G35</f>
        <v>Fungicide</v>
      </c>
      <c r="G34" s="252">
        <f>Estimates!H35</f>
        <v>0</v>
      </c>
      <c r="H34" s="254">
        <f>Estimates!I35</f>
        <v>201.6</v>
      </c>
      <c r="I34" s="254">
        <f>Estimates!K35</f>
        <v>201.6</v>
      </c>
      <c r="J34" s="255" t="str">
        <f>Estimates!L35</f>
        <v/>
      </c>
      <c r="K34" s="255" t="str">
        <f>Estimates!S35</f>
        <v/>
      </c>
      <c r="L34" s="264" t="e">
        <f t="shared" si="1"/>
        <v>#VALUE!</v>
      </c>
      <c r="M34" s="63"/>
    </row>
    <row r="35" spans="1:13" ht="24" customHeight="1" x14ac:dyDescent="0.2">
      <c r="A35" s="152" t="s">
        <v>60</v>
      </c>
      <c r="B35" t="b">
        <f t="shared" si="0"/>
        <v>0</v>
      </c>
      <c r="D35" s="263" t="str">
        <f>Estimates!E36</f>
        <v>Indemnify®</v>
      </c>
      <c r="E35" s="251" t="str">
        <f>Estimates!F36</f>
        <v>17.1 fl oz</v>
      </c>
      <c r="F35" s="251" t="str">
        <f>Estimates!G36</f>
        <v>Fungicide</v>
      </c>
      <c r="G35" s="252">
        <f>Estimates!H36</f>
        <v>0</v>
      </c>
      <c r="H35" s="254">
        <f>Estimates!I36</f>
        <v>1250.43</v>
      </c>
      <c r="I35" s="254">
        <f>Estimates!K36</f>
        <v>1250.43</v>
      </c>
      <c r="J35" s="255" t="str">
        <f>Estimates!L36</f>
        <v/>
      </c>
      <c r="K35" s="255" t="str">
        <f>Estimates!S36</f>
        <v/>
      </c>
      <c r="L35" s="264" t="e">
        <f t="shared" si="1"/>
        <v>#VALUE!</v>
      </c>
      <c r="M35" s="63"/>
    </row>
    <row r="36" spans="1:13" ht="24" customHeight="1" x14ac:dyDescent="0.2">
      <c r="A36" s="153">
        <v>81701245</v>
      </c>
      <c r="B36" t="b">
        <f t="shared" si="0"/>
        <v>0</v>
      </c>
      <c r="D36" s="263" t="str">
        <f>Estimates!E37</f>
        <v>Interface® Stressgard®</v>
      </c>
      <c r="E36" s="251" t="str">
        <f>Estimates!F37</f>
        <v>2.5 gal</v>
      </c>
      <c r="F36" s="251" t="str">
        <f>Estimates!G37</f>
        <v>Fungicide</v>
      </c>
      <c r="G36" s="252">
        <f>Estimates!H37</f>
        <v>0</v>
      </c>
      <c r="H36" s="254">
        <f>Estimates!I37</f>
        <v>598.4</v>
      </c>
      <c r="I36" s="254">
        <f>Estimates!K37</f>
        <v>598.4</v>
      </c>
      <c r="J36" s="255" t="str">
        <f>Estimates!L37</f>
        <v/>
      </c>
      <c r="K36" s="255" t="str">
        <f>Estimates!S37</f>
        <v/>
      </c>
      <c r="L36" s="264" t="e">
        <f t="shared" si="1"/>
        <v>#VALUE!</v>
      </c>
      <c r="M36" s="63"/>
    </row>
    <row r="37" spans="1:13" ht="24" customHeight="1" x14ac:dyDescent="0.2">
      <c r="A37" s="153">
        <v>11013671</v>
      </c>
      <c r="B37" t="b">
        <f t="shared" si="0"/>
        <v>0</v>
      </c>
      <c r="D37" s="263" t="str">
        <f>Estimates!E38</f>
        <v xml:space="preserve">Kalida® Fungicide </v>
      </c>
      <c r="E37" s="251" t="str">
        <f>Estimates!F38</f>
        <v>64 oz</v>
      </c>
      <c r="F37" s="251" t="str">
        <f>Estimates!G38</f>
        <v>Fungicide</v>
      </c>
      <c r="G37" s="252">
        <f>Estimates!H38</f>
        <v>0</v>
      </c>
      <c r="H37" s="254">
        <f>Estimates!I38</f>
        <v>924.16</v>
      </c>
      <c r="I37" s="254">
        <f>Estimates!K38</f>
        <v>924.16</v>
      </c>
      <c r="J37" s="255" t="str">
        <f>Estimates!L38</f>
        <v/>
      </c>
      <c r="K37" s="255" t="str">
        <f>Estimates!S38</f>
        <v/>
      </c>
      <c r="L37" s="264" t="e">
        <f t="shared" si="1"/>
        <v>#VALUE!</v>
      </c>
      <c r="M37" s="63"/>
    </row>
    <row r="38" spans="1:13" ht="24" customHeight="1" x14ac:dyDescent="0.2">
      <c r="A38" s="153" t="s">
        <v>61</v>
      </c>
      <c r="B38" t="b">
        <f t="shared" si="0"/>
        <v>0</v>
      </c>
      <c r="D38" s="263" t="str">
        <f>Estimates!E39</f>
        <v>Kontos®</v>
      </c>
      <c r="E38" s="251" t="str">
        <f>Estimates!F39</f>
        <v>250 ml</v>
      </c>
      <c r="F38" s="251" t="str">
        <f>Estimates!G39</f>
        <v>Insecticide</v>
      </c>
      <c r="G38" s="252">
        <f>Estimates!H39</f>
        <v>0</v>
      </c>
      <c r="H38" s="254">
        <f>Estimates!I39</f>
        <v>235</v>
      </c>
      <c r="I38" s="254">
        <f>Estimates!K39</f>
        <v>235</v>
      </c>
      <c r="J38" s="255" t="str">
        <f>Estimates!L39</f>
        <v/>
      </c>
      <c r="K38" s="255" t="str">
        <f>Estimates!S39</f>
        <v/>
      </c>
      <c r="L38" s="264" t="e">
        <f t="shared" si="1"/>
        <v>#VALUE!</v>
      </c>
      <c r="M38" s="63"/>
    </row>
    <row r="39" spans="1:13" ht="24" customHeight="1" x14ac:dyDescent="0.2">
      <c r="A39" s="153" t="s">
        <v>62</v>
      </c>
      <c r="B39" t="b">
        <f t="shared" si="0"/>
        <v>0</v>
      </c>
      <c r="D39" s="263" t="str">
        <f>Estimates!E40</f>
        <v>Kontos®</v>
      </c>
      <c r="E39" s="251" t="str">
        <f>Estimates!F40</f>
        <v>1 qt</v>
      </c>
      <c r="F39" s="251" t="str">
        <f>Estimates!G40</f>
        <v>Insecticide</v>
      </c>
      <c r="G39" s="252">
        <f>Estimates!H40</f>
        <v>0</v>
      </c>
      <c r="H39" s="254">
        <f>Estimates!I40</f>
        <v>777.92</v>
      </c>
      <c r="I39" s="254">
        <f>Estimates!K40</f>
        <v>777.92</v>
      </c>
      <c r="J39" s="255" t="str">
        <f>Estimates!L40</f>
        <v/>
      </c>
      <c r="K39" s="255" t="str">
        <f>Estimates!S40</f>
        <v/>
      </c>
      <c r="L39" s="264" t="e">
        <f t="shared" si="1"/>
        <v>#VALUE!</v>
      </c>
      <c r="M39" s="63"/>
    </row>
    <row r="40" spans="1:13" ht="24" customHeight="1" x14ac:dyDescent="0.2">
      <c r="A40" s="153" t="s">
        <v>63</v>
      </c>
      <c r="B40" t="b">
        <f t="shared" si="0"/>
        <v>0</v>
      </c>
      <c r="D40" s="263" t="str">
        <f>Estimates!E41</f>
        <v>Kontos®</v>
      </c>
      <c r="E40" s="251" t="str">
        <f>Estimates!F41</f>
        <v>1 qt</v>
      </c>
      <c r="F40" s="251" t="str">
        <f>Estimates!G41</f>
        <v>Insecticide</v>
      </c>
      <c r="G40" s="252">
        <f>Estimates!H41</f>
        <v>0</v>
      </c>
      <c r="H40" s="254">
        <f>Estimates!I41</f>
        <v>777.92</v>
      </c>
      <c r="I40" s="254">
        <f>Estimates!K41</f>
        <v>719.68</v>
      </c>
      <c r="J40" s="255" t="str">
        <f>Estimates!L41</f>
        <v/>
      </c>
      <c r="K40" s="255" t="str">
        <f>Estimates!S41</f>
        <v/>
      </c>
      <c r="L40" s="264" t="e">
        <f t="shared" si="1"/>
        <v>#VALUE!</v>
      </c>
      <c r="M40" s="63"/>
    </row>
    <row r="41" spans="1:13" ht="24" customHeight="1" x14ac:dyDescent="0.2">
      <c r="A41" s="153" t="s">
        <v>64</v>
      </c>
      <c r="B41" t="b">
        <f t="shared" si="0"/>
        <v>0</v>
      </c>
      <c r="D41" s="263" t="str">
        <f>Estimates!E42</f>
        <v>Kontos®</v>
      </c>
      <c r="E41" s="251" t="str">
        <f>Estimates!F42</f>
        <v>1 qt</v>
      </c>
      <c r="F41" s="251" t="str">
        <f>Estimates!G42</f>
        <v>Insecticide</v>
      </c>
      <c r="G41" s="252">
        <f>Estimates!H42</f>
        <v>0</v>
      </c>
      <c r="H41" s="254">
        <f>Estimates!I42</f>
        <v>777.92</v>
      </c>
      <c r="I41" s="254">
        <f>Estimates!K42</f>
        <v>661.12</v>
      </c>
      <c r="J41" s="255" t="str">
        <f>Estimates!L42</f>
        <v/>
      </c>
      <c r="K41" s="255" t="str">
        <f>Estimates!S42</f>
        <v/>
      </c>
      <c r="L41" s="264" t="e">
        <f t="shared" si="1"/>
        <v>#VALUE!</v>
      </c>
      <c r="M41" s="63"/>
    </row>
    <row r="42" spans="1:13" ht="24" customHeight="1" x14ac:dyDescent="0.2">
      <c r="A42" s="159" t="s">
        <v>65</v>
      </c>
      <c r="B42" t="b">
        <f t="shared" si="0"/>
        <v>0</v>
      </c>
      <c r="D42" s="263" t="str">
        <f>Estimates!E43</f>
        <v>Mirage® Stressgard®</v>
      </c>
      <c r="E42" s="251" t="str">
        <f>Estimates!F43</f>
        <v>2.5 gal</v>
      </c>
      <c r="F42" s="251" t="str">
        <f>Estimates!G43</f>
        <v>Fungicide</v>
      </c>
      <c r="G42" s="252">
        <f>Estimates!H43</f>
        <v>0</v>
      </c>
      <c r="H42" s="254">
        <f>Estimates!I43</f>
        <v>515.20000000000005</v>
      </c>
      <c r="I42" s="254">
        <f>Estimates!K43</f>
        <v>515.20000000000005</v>
      </c>
      <c r="J42" s="255" t="str">
        <f>Estimates!L43</f>
        <v/>
      </c>
      <c r="K42" s="255" t="str">
        <f>Estimates!S43</f>
        <v/>
      </c>
      <c r="L42" s="264" t="e">
        <f t="shared" si="1"/>
        <v>#VALUE!</v>
      </c>
      <c r="M42" s="63"/>
    </row>
    <row r="43" spans="1:13" ht="24" customHeight="1" x14ac:dyDescent="0.2">
      <c r="A43" s="152">
        <v>11003880</v>
      </c>
      <c r="B43" t="b">
        <f t="shared" si="0"/>
        <v>0</v>
      </c>
      <c r="D43" s="263" t="str">
        <f>Estimates!E44</f>
        <v xml:space="preserve">Rayora® Fungicide </v>
      </c>
      <c r="E43" s="251" t="str">
        <f>Estimates!F44</f>
        <v>2.5 gal</v>
      </c>
      <c r="F43" s="251" t="str">
        <f>Estimates!G44</f>
        <v>Fungicide</v>
      </c>
      <c r="G43" s="252">
        <f>Estimates!H44</f>
        <v>0</v>
      </c>
      <c r="H43" s="254">
        <f>Estimates!I44</f>
        <v>659.2</v>
      </c>
      <c r="I43" s="254">
        <f>Estimates!K44</f>
        <v>659.2</v>
      </c>
      <c r="J43" s="255" t="str">
        <f>Estimates!L44</f>
        <v/>
      </c>
      <c r="K43" s="255" t="str">
        <f>Estimates!S44</f>
        <v/>
      </c>
      <c r="L43" s="264" t="e">
        <f t="shared" si="1"/>
        <v>#VALUE!</v>
      </c>
      <c r="M43" s="63"/>
    </row>
    <row r="44" spans="1:13" ht="24" customHeight="1" x14ac:dyDescent="0.2">
      <c r="A44" s="152" t="s">
        <v>66</v>
      </c>
      <c r="B44" t="b">
        <f t="shared" si="0"/>
        <v>0</v>
      </c>
      <c r="D44" s="263" t="str">
        <f>Estimates!E45</f>
        <v>Resilia®</v>
      </c>
      <c r="E44" s="251" t="str">
        <f>Estimates!F45</f>
        <v>2.72 gal</v>
      </c>
      <c r="F44" s="251" t="str">
        <f>Estimates!G45</f>
        <v>Fungicide</v>
      </c>
      <c r="G44" s="252">
        <f>Estimates!H45</f>
        <v>0</v>
      </c>
      <c r="H44" s="254">
        <f>Estimates!I45</f>
        <v>1044.48</v>
      </c>
      <c r="I44" s="254">
        <f>Estimates!K45</f>
        <v>1044.48</v>
      </c>
      <c r="J44" s="255" t="str">
        <f>Estimates!L45</f>
        <v/>
      </c>
      <c r="K44" s="255" t="str">
        <f>Estimates!S45</f>
        <v/>
      </c>
      <c r="L44" s="264" t="e">
        <f t="shared" si="1"/>
        <v>#VALUE!</v>
      </c>
      <c r="M44" s="63"/>
    </row>
    <row r="45" spans="1:13" ht="24" customHeight="1" x14ac:dyDescent="0.2">
      <c r="A45" s="152">
        <v>79545312</v>
      </c>
      <c r="B45" t="b">
        <f t="shared" si="0"/>
        <v>0</v>
      </c>
      <c r="D45" s="263" t="str">
        <f>Estimates!E46</f>
        <v>Revolver®</v>
      </c>
      <c r="E45" s="251" t="str">
        <f>Estimates!F46</f>
        <v>87 fl oz</v>
      </c>
      <c r="F45" s="251" t="str">
        <f>Estimates!G46</f>
        <v>Herbicide</v>
      </c>
      <c r="G45" s="252">
        <f>Estimates!H46</f>
        <v>0</v>
      </c>
      <c r="H45" s="254">
        <f>Estimates!I46</f>
        <v>832.59</v>
      </c>
      <c r="I45" s="254">
        <f>Estimates!K46</f>
        <v>808.23</v>
      </c>
      <c r="J45" s="255" t="str">
        <f>Estimates!L46</f>
        <v/>
      </c>
      <c r="K45" s="255" t="str">
        <f>Estimates!S46</f>
        <v/>
      </c>
      <c r="L45" s="264" t="e">
        <f t="shared" si="1"/>
        <v>#VALUE!</v>
      </c>
      <c r="M45" s="63"/>
    </row>
    <row r="46" spans="1:13" ht="24" customHeight="1" x14ac:dyDescent="0.2">
      <c r="A46" s="153" t="s">
        <v>67</v>
      </c>
      <c r="B46" t="b">
        <f t="shared" si="0"/>
        <v>0</v>
      </c>
      <c r="D46" s="263" t="str">
        <f>Estimates!E47</f>
        <v xml:space="preserve">Ronstar® FLO </v>
      </c>
      <c r="E46" s="251" t="str">
        <f>Estimates!F47</f>
        <v>2.5 gal</v>
      </c>
      <c r="F46" s="251" t="str">
        <f>Estimates!G47</f>
        <v>Herbicide</v>
      </c>
      <c r="G46" s="252">
        <f>Estimates!H47</f>
        <v>0</v>
      </c>
      <c r="H46" s="254">
        <f>Estimates!I47</f>
        <v>576</v>
      </c>
      <c r="I46" s="254">
        <f>Estimates!K47</f>
        <v>576</v>
      </c>
      <c r="J46" s="255" t="str">
        <f>Estimates!L47</f>
        <v/>
      </c>
      <c r="K46" s="255" t="str">
        <f>Estimates!S47</f>
        <v/>
      </c>
      <c r="L46" s="264" t="e">
        <f t="shared" si="1"/>
        <v>#VALUE!</v>
      </c>
      <c r="M46" s="63"/>
    </row>
    <row r="47" spans="1:13" ht="24" customHeight="1" x14ac:dyDescent="0.2">
      <c r="A47" s="152" t="s">
        <v>68</v>
      </c>
      <c r="B47" t="b">
        <f t="shared" si="0"/>
        <v>0</v>
      </c>
      <c r="D47" s="263" t="str">
        <f>Estimates!E48</f>
        <v xml:space="preserve">Ronstar® FLO </v>
      </c>
      <c r="E47" s="251" t="str">
        <f>Estimates!F48</f>
        <v>2.5 gal</v>
      </c>
      <c r="F47" s="251" t="str">
        <f>Estimates!G48</f>
        <v>Herbicide</v>
      </c>
      <c r="G47" s="252">
        <f>Estimates!H48</f>
        <v>0</v>
      </c>
      <c r="H47" s="254">
        <f>Estimates!I48</f>
        <v>473.6</v>
      </c>
      <c r="I47" s="254">
        <f>Estimates!K48</f>
        <v>473.6</v>
      </c>
      <c r="J47" s="255" t="str">
        <f>Estimates!L48</f>
        <v/>
      </c>
      <c r="K47" s="255" t="str">
        <f>Estimates!S48</f>
        <v/>
      </c>
      <c r="L47" s="264" t="e">
        <f t="shared" si="1"/>
        <v>#VALUE!</v>
      </c>
      <c r="M47" s="63"/>
    </row>
    <row r="48" spans="1:13" ht="24" customHeight="1" x14ac:dyDescent="0.2">
      <c r="A48" s="153" t="s">
        <v>69</v>
      </c>
      <c r="B48" t="b">
        <f t="shared" si="0"/>
        <v>0</v>
      </c>
      <c r="D48" s="263" t="str">
        <f>Estimates!E49</f>
        <v xml:space="preserve">Ronstar® FLO </v>
      </c>
      <c r="E48" s="251" t="str">
        <f>Estimates!F49</f>
        <v>2.5 gal</v>
      </c>
      <c r="F48" s="251" t="str">
        <f>Estimates!G49</f>
        <v>Herbicide</v>
      </c>
      <c r="G48" s="252">
        <f>Estimates!H49</f>
        <v>0</v>
      </c>
      <c r="H48" s="254">
        <f>Estimates!I49</f>
        <v>409.6</v>
      </c>
      <c r="I48" s="254">
        <f>Estimates!K49</f>
        <v>409.6</v>
      </c>
      <c r="J48" s="255" t="str">
        <f>Estimates!L49</f>
        <v/>
      </c>
      <c r="K48" s="255" t="str">
        <f>Estimates!S49</f>
        <v/>
      </c>
      <c r="L48" s="264" t="e">
        <f t="shared" si="1"/>
        <v>#VALUE!</v>
      </c>
      <c r="M48" s="63"/>
    </row>
    <row r="49" spans="1:13" ht="24" customHeight="1" x14ac:dyDescent="0.2">
      <c r="A49" s="152">
        <v>11014245</v>
      </c>
      <c r="B49" t="b">
        <f t="shared" si="0"/>
        <v>0</v>
      </c>
      <c r="D49" s="263" t="str">
        <f>Estimates!E50</f>
        <v xml:space="preserve">Serata® Fungicide </v>
      </c>
      <c r="E49" s="251" t="str">
        <f>Estimates!F50</f>
        <v>35 oz</v>
      </c>
      <c r="F49" s="251" t="str">
        <f>Estimates!G50</f>
        <v>Fungicide</v>
      </c>
      <c r="G49" s="252">
        <f>Estimates!H50</f>
        <v>0</v>
      </c>
      <c r="H49" s="254">
        <f>Estimates!I50</f>
        <v>546</v>
      </c>
      <c r="I49" s="254">
        <f>Estimates!K50</f>
        <v>546</v>
      </c>
      <c r="J49" s="255" t="str">
        <f>Estimates!L50</f>
        <v/>
      </c>
      <c r="K49" s="255" t="str">
        <f>Estimates!S50</f>
        <v/>
      </c>
      <c r="L49" s="264" t="e">
        <f t="shared" si="1"/>
        <v>#VALUE!</v>
      </c>
      <c r="M49" s="63"/>
    </row>
    <row r="50" spans="1:13" ht="24" customHeight="1" x14ac:dyDescent="0.2">
      <c r="A50" s="153" t="s">
        <v>70</v>
      </c>
      <c r="B50" t="b">
        <f t="shared" si="0"/>
        <v>0</v>
      </c>
      <c r="D50" s="263" t="str">
        <f>Estimates!E51</f>
        <v xml:space="preserve">Signature™ XTRA Stressgard® </v>
      </c>
      <c r="E50" s="251" t="str">
        <f>Estimates!F51</f>
        <v>5.5 lb</v>
      </c>
      <c r="F50" s="251" t="str">
        <f>Estimates!G51</f>
        <v>Fungicide</v>
      </c>
      <c r="G50" s="252">
        <f>Estimates!H51</f>
        <v>0</v>
      </c>
      <c r="H50" s="254">
        <f>Estimates!I51</f>
        <v>224.35</v>
      </c>
      <c r="I50" s="254">
        <f>Estimates!K51</f>
        <v>224.35</v>
      </c>
      <c r="J50" s="255" t="str">
        <f>Estimates!L51</f>
        <v/>
      </c>
      <c r="K50" s="255" t="str">
        <f>Estimates!S51</f>
        <v/>
      </c>
      <c r="L50" s="264" t="e">
        <f t="shared" si="1"/>
        <v>#VALUE!</v>
      </c>
      <c r="M50" s="63"/>
    </row>
    <row r="51" spans="1:13" ht="24" customHeight="1" x14ac:dyDescent="0.2">
      <c r="A51" s="152" t="s">
        <v>71</v>
      </c>
      <c r="B51" t="b">
        <f t="shared" si="0"/>
        <v>0</v>
      </c>
      <c r="D51" s="263" t="str">
        <f>Estimates!E52</f>
        <v>Signature™ XTRA Stressgard® Liquid</v>
      </c>
      <c r="E51" s="251" t="str">
        <f>Estimates!F52</f>
        <v>98 oz</v>
      </c>
      <c r="F51" s="251" t="str">
        <f>Estimates!G52</f>
        <v>Fungicide</v>
      </c>
      <c r="G51" s="252">
        <f>Estimates!H52</f>
        <v>0</v>
      </c>
      <c r="H51" s="254">
        <f>Estimates!I52</f>
        <v>235.2</v>
      </c>
      <c r="I51" s="254">
        <f>Estimates!K52</f>
        <v>235.2</v>
      </c>
      <c r="J51" s="255" t="str">
        <f>Estimates!L52</f>
        <v/>
      </c>
      <c r="K51" s="255" t="str">
        <f>Estimates!S52</f>
        <v/>
      </c>
      <c r="L51" s="264" t="e">
        <f t="shared" si="1"/>
        <v>#VALUE!</v>
      </c>
      <c r="M51" s="63"/>
    </row>
    <row r="52" spans="1:13" ht="24" customHeight="1" x14ac:dyDescent="0.2">
      <c r="A52" s="153">
        <v>11008522</v>
      </c>
      <c r="B52" t="b">
        <f t="shared" si="0"/>
        <v>0</v>
      </c>
      <c r="D52" s="263" t="str">
        <f>Estimates!E53</f>
        <v xml:space="preserve">Solitare® Herbicide </v>
      </c>
      <c r="E52" s="251" t="str">
        <f>Estimates!F53</f>
        <v>4 lb</v>
      </c>
      <c r="F52" s="251" t="str">
        <f>Estimates!G53</f>
        <v>Herbicide</v>
      </c>
      <c r="G52" s="252">
        <f>Estimates!H53</f>
        <v>0</v>
      </c>
      <c r="H52" s="254">
        <f>Estimates!I53</f>
        <v>611.08000000000004</v>
      </c>
      <c r="I52" s="254">
        <f>Estimates!K53</f>
        <v>611.08000000000004</v>
      </c>
      <c r="J52" s="255" t="str">
        <f>Estimates!L53</f>
        <v/>
      </c>
      <c r="K52" s="255" t="str">
        <f>Estimates!S53</f>
        <v/>
      </c>
      <c r="L52" s="264" t="e">
        <f t="shared" si="1"/>
        <v>#VALUE!</v>
      </c>
      <c r="M52" s="63"/>
    </row>
    <row r="53" spans="1:13" ht="24" customHeight="1" x14ac:dyDescent="0.2">
      <c r="A53" s="154">
        <v>11013862</v>
      </c>
      <c r="B53" t="b">
        <f t="shared" si="0"/>
        <v>0</v>
      </c>
      <c r="D53" s="263" t="str">
        <f>Estimates!E54</f>
        <v>Solitare® WSL Herbicide</v>
      </c>
      <c r="E53" s="251" t="str">
        <f>Estimates!F54</f>
        <v>2.5 gal</v>
      </c>
      <c r="F53" s="251" t="str">
        <f>Estimates!G54</f>
        <v>Herbicide</v>
      </c>
      <c r="G53" s="252">
        <f>Estimates!H54</f>
        <v>0</v>
      </c>
      <c r="H53" s="254">
        <f>Estimates!I54</f>
        <v>268.8</v>
      </c>
      <c r="I53" s="254">
        <f>Estimates!K54</f>
        <v>268.8</v>
      </c>
      <c r="J53" s="255" t="str">
        <f>Estimates!L54</f>
        <v/>
      </c>
      <c r="K53" s="255" t="str">
        <f>Estimates!S54</f>
        <v/>
      </c>
      <c r="L53" s="264" t="e">
        <f t="shared" si="1"/>
        <v>#VALUE!</v>
      </c>
      <c r="M53" s="63"/>
    </row>
    <row r="54" spans="1:13" ht="24" customHeight="1" x14ac:dyDescent="0.2">
      <c r="A54" s="153" t="s">
        <v>72</v>
      </c>
      <c r="B54" t="b">
        <f t="shared" si="0"/>
        <v>0</v>
      </c>
      <c r="D54" s="263" t="str">
        <f>Estimates!E55</f>
        <v xml:space="preserve">Specticle® FLO </v>
      </c>
      <c r="E54" s="251" t="str">
        <f>Estimates!F55</f>
        <v>18 oz</v>
      </c>
      <c r="F54" s="251" t="str">
        <f>Estimates!G55</f>
        <v>Herbicide</v>
      </c>
      <c r="G54" s="252">
        <f>Estimates!H55</f>
        <v>0</v>
      </c>
      <c r="H54" s="254">
        <f>Estimates!I55</f>
        <v>340.02</v>
      </c>
      <c r="I54" s="254">
        <f>Estimates!K55</f>
        <v>340.02</v>
      </c>
      <c r="J54" s="255" t="str">
        <f>Estimates!L55</f>
        <v/>
      </c>
      <c r="K54" s="255" t="str">
        <f>Estimates!S55</f>
        <v/>
      </c>
      <c r="L54" s="264" t="e">
        <f t="shared" si="1"/>
        <v>#VALUE!</v>
      </c>
      <c r="M54" s="63"/>
    </row>
    <row r="55" spans="1:13" ht="24" customHeight="1" x14ac:dyDescent="0.2">
      <c r="A55" s="153" t="s">
        <v>73</v>
      </c>
      <c r="B55" t="b">
        <f t="shared" si="0"/>
        <v>0</v>
      </c>
      <c r="D55" s="263" t="str">
        <f>Estimates!E56</f>
        <v xml:space="preserve">Specticle® FLO </v>
      </c>
      <c r="E55" s="251" t="str">
        <f>Estimates!F56</f>
        <v>1 gal</v>
      </c>
      <c r="F55" s="251" t="str">
        <f>Estimates!G56</f>
        <v>Herbicide</v>
      </c>
      <c r="G55" s="252">
        <f>Estimates!H56</f>
        <v>0</v>
      </c>
      <c r="H55" s="254">
        <f>Estimates!I56</f>
        <v>2232.3200000000002</v>
      </c>
      <c r="I55" s="254">
        <f>Estimates!K56</f>
        <v>2143.0300000000002</v>
      </c>
      <c r="J55" s="255" t="str">
        <f>Estimates!L56</f>
        <v/>
      </c>
      <c r="K55" s="255" t="str">
        <f>Estimates!S56</f>
        <v/>
      </c>
      <c r="L55" s="264" t="e">
        <f t="shared" si="1"/>
        <v>#VALUE!</v>
      </c>
      <c r="M55" s="63"/>
    </row>
    <row r="56" spans="1:13" ht="24" customHeight="1" x14ac:dyDescent="0.2">
      <c r="A56" s="153" t="s">
        <v>74</v>
      </c>
      <c r="B56" t="b">
        <f t="shared" si="0"/>
        <v>0</v>
      </c>
      <c r="D56" s="263" t="str">
        <f>Estimates!E57</f>
        <v xml:space="preserve">Specticle® FLO </v>
      </c>
      <c r="E56" s="251" t="str">
        <f>Estimates!F57</f>
        <v>1 gal</v>
      </c>
      <c r="F56" s="251" t="str">
        <f>Estimates!G57</f>
        <v>Herbicide</v>
      </c>
      <c r="G56" s="252">
        <f>Estimates!H57</f>
        <v>0</v>
      </c>
      <c r="H56" s="254">
        <f>Estimates!I57</f>
        <v>2232.3200000000002</v>
      </c>
      <c r="I56" s="254">
        <f>Estimates!K57</f>
        <v>2098.38</v>
      </c>
      <c r="J56" s="255" t="str">
        <f>Estimates!L57</f>
        <v/>
      </c>
      <c r="K56" s="255" t="str">
        <f>Estimates!S57</f>
        <v/>
      </c>
      <c r="L56" s="264" t="e">
        <f t="shared" si="1"/>
        <v>#VALUE!</v>
      </c>
      <c r="M56" s="63"/>
    </row>
    <row r="57" spans="1:13" ht="24" customHeight="1" x14ac:dyDescent="0.2">
      <c r="A57" s="153" t="s">
        <v>75</v>
      </c>
      <c r="B57" t="b">
        <f t="shared" ref="B57:B66" si="2">G57&gt;0</f>
        <v>0</v>
      </c>
      <c r="D57" s="263" t="str">
        <f>Estimates!E58</f>
        <v xml:space="preserve">Specticle® FLO </v>
      </c>
      <c r="E57" s="251" t="str">
        <f>Estimates!F58</f>
        <v>1 gal</v>
      </c>
      <c r="F57" s="251" t="str">
        <f>Estimates!G58</f>
        <v>Herbicide</v>
      </c>
      <c r="G57" s="252">
        <f>Estimates!H58</f>
        <v>0</v>
      </c>
      <c r="H57" s="254">
        <f>Estimates!I58</f>
        <v>1916.16</v>
      </c>
      <c r="I57" s="254">
        <f>Estimates!K58</f>
        <v>1839.51</v>
      </c>
      <c r="J57" s="255" t="str">
        <f>Estimates!L58</f>
        <v/>
      </c>
      <c r="K57" s="255" t="str">
        <f>Estimates!S58</f>
        <v/>
      </c>
      <c r="L57" s="264" t="e">
        <f t="shared" si="1"/>
        <v>#VALUE!</v>
      </c>
      <c r="M57" s="63"/>
    </row>
    <row r="58" spans="1:13" ht="24" customHeight="1" x14ac:dyDescent="0.2">
      <c r="A58" s="153" t="s">
        <v>76</v>
      </c>
      <c r="B58" t="b">
        <f t="shared" si="2"/>
        <v>0</v>
      </c>
      <c r="D58" s="263" t="str">
        <f>Estimates!E59</f>
        <v xml:space="preserve">Specticle® FLO </v>
      </c>
      <c r="E58" s="251" t="str">
        <f>Estimates!F59</f>
        <v>1 gal</v>
      </c>
      <c r="F58" s="251" t="str">
        <f>Estimates!G59</f>
        <v>Herbicide</v>
      </c>
      <c r="G58" s="252">
        <f>Estimates!H59</f>
        <v>0</v>
      </c>
      <c r="H58" s="254">
        <f>Estimates!I59</f>
        <v>1916.16</v>
      </c>
      <c r="I58" s="254">
        <f>Estimates!K59</f>
        <v>1820.35</v>
      </c>
      <c r="J58" s="255" t="str">
        <f>Estimates!L59</f>
        <v/>
      </c>
      <c r="K58" s="255" t="str">
        <f>Estimates!S59</f>
        <v/>
      </c>
      <c r="L58" s="264" t="e">
        <f t="shared" si="1"/>
        <v>#VALUE!</v>
      </c>
      <c r="M58" s="63"/>
    </row>
    <row r="59" spans="1:13" ht="24" customHeight="1" x14ac:dyDescent="0.2">
      <c r="A59" s="153" t="s">
        <v>77</v>
      </c>
      <c r="B59" t="b">
        <f t="shared" si="2"/>
        <v>0</v>
      </c>
      <c r="D59" s="263" t="str">
        <f>Estimates!E60</f>
        <v>Specticle® G</v>
      </c>
      <c r="E59" s="251" t="str">
        <f>Estimates!F60</f>
        <v>50 lb</v>
      </c>
      <c r="F59" s="251" t="str">
        <f>Estimates!G60</f>
        <v>Herbicide</v>
      </c>
      <c r="G59" s="252">
        <f>Estimates!H60</f>
        <v>0</v>
      </c>
      <c r="H59" s="254">
        <f>Estimates!I60</f>
        <v>139</v>
      </c>
      <c r="I59" s="254">
        <f>Estimates!K60</f>
        <v>139</v>
      </c>
      <c r="J59" s="255" t="str">
        <f>Estimates!L60</f>
        <v/>
      </c>
      <c r="K59" s="255" t="str">
        <f>Estimates!S60</f>
        <v/>
      </c>
      <c r="L59" s="264" t="e">
        <f t="shared" si="1"/>
        <v>#VALUE!</v>
      </c>
      <c r="M59" s="63"/>
    </row>
    <row r="60" spans="1:13" ht="24" customHeight="1" x14ac:dyDescent="0.2">
      <c r="A60" s="153" t="s">
        <v>78</v>
      </c>
      <c r="B60" t="b">
        <f t="shared" si="2"/>
        <v>0</v>
      </c>
      <c r="D60" s="263" t="str">
        <f>Estimates!E61</f>
        <v xml:space="preserve">Tartan® Stressgard® </v>
      </c>
      <c r="E60" s="251" t="str">
        <f>Estimates!F61</f>
        <v>2.5 gal</v>
      </c>
      <c r="F60" s="251" t="str">
        <f>Estimates!G61</f>
        <v>Fungicide</v>
      </c>
      <c r="G60" s="252">
        <f>Estimates!H61</f>
        <v>0</v>
      </c>
      <c r="H60" s="254">
        <f>Estimates!I61</f>
        <v>1030.4000000000001</v>
      </c>
      <c r="I60" s="254">
        <f>Estimates!K61</f>
        <v>1030.4000000000001</v>
      </c>
      <c r="J60" s="255" t="str">
        <f>Estimates!L61</f>
        <v/>
      </c>
      <c r="K60" s="255" t="str">
        <f>Estimates!S61</f>
        <v/>
      </c>
      <c r="L60" s="264" t="e">
        <f t="shared" si="1"/>
        <v>#VALUE!</v>
      </c>
      <c r="M60" s="63"/>
    </row>
    <row r="61" spans="1:13" ht="24" customHeight="1" x14ac:dyDescent="0.2">
      <c r="A61" s="153">
        <v>11015981</v>
      </c>
      <c r="B61" t="b">
        <f t="shared" si="2"/>
        <v>0</v>
      </c>
      <c r="D61" s="263" t="str">
        <f>Estimates!E62</f>
        <v>Tarvecta™</v>
      </c>
      <c r="E61" s="251" t="str">
        <f>Estimates!F62</f>
        <v>64 oz</v>
      </c>
      <c r="F61" s="251" t="str">
        <f>Estimates!G62</f>
        <v>Fungicide</v>
      </c>
      <c r="G61" s="252">
        <f>Estimates!H62</f>
        <v>0</v>
      </c>
      <c r="H61" s="254">
        <f>Estimates!I62</f>
        <v>840.32</v>
      </c>
      <c r="I61" s="254">
        <f>Estimates!K62</f>
        <v>380.16</v>
      </c>
      <c r="J61" s="255" t="str">
        <f>Estimates!L62</f>
        <v/>
      </c>
      <c r="K61" s="255" t="str">
        <f>Estimates!S62</f>
        <v/>
      </c>
      <c r="L61" s="264" t="e">
        <f t="shared" si="1"/>
        <v>#VALUE!</v>
      </c>
      <c r="M61" s="63"/>
    </row>
    <row r="62" spans="1:13" ht="24" customHeight="1" x14ac:dyDescent="0.2">
      <c r="A62" s="153">
        <v>11015990</v>
      </c>
      <c r="B62" t="b">
        <f t="shared" si="2"/>
        <v>0</v>
      </c>
      <c r="D62" s="263" t="str">
        <f>Estimates!E63</f>
        <v>Tarvecta™</v>
      </c>
      <c r="E62" s="251" t="str">
        <f>Estimates!F63</f>
        <v>2.5 gal</v>
      </c>
      <c r="F62" s="251" t="str">
        <f>Estimates!G63</f>
        <v>Fungicide</v>
      </c>
      <c r="G62" s="252">
        <f>Estimates!H63</f>
        <v>0</v>
      </c>
      <c r="H62" s="254">
        <f>Estimates!I63</f>
        <v>3654.4</v>
      </c>
      <c r="I62" s="254">
        <f>Estimates!K63</f>
        <v>1900.8</v>
      </c>
      <c r="J62" s="255" t="str">
        <f>Estimates!L63</f>
        <v/>
      </c>
      <c r="K62" s="255" t="str">
        <f>Estimates!S63</f>
        <v/>
      </c>
      <c r="L62" s="264" t="e">
        <f t="shared" si="1"/>
        <v>#VALUE!</v>
      </c>
      <c r="M62" s="63"/>
    </row>
    <row r="63" spans="1:13" ht="24" customHeight="1" x14ac:dyDescent="0.2">
      <c r="A63" s="153">
        <v>86797658</v>
      </c>
      <c r="B63" t="b">
        <f t="shared" si="2"/>
        <v>0</v>
      </c>
      <c r="D63" s="263" t="str">
        <f>Estimates!E64</f>
        <v>Tetrino®</v>
      </c>
      <c r="E63" s="251" t="str">
        <f>Estimates!F64</f>
        <v> 1 gal</v>
      </c>
      <c r="F63" s="251" t="str">
        <f>Estimates!G64</f>
        <v>Insecticide</v>
      </c>
      <c r="G63" s="252">
        <f>Estimates!H64</f>
        <v>0</v>
      </c>
      <c r="H63" s="254">
        <f>Estimates!I64</f>
        <v>606.72</v>
      </c>
      <c r="I63" s="254">
        <f>Estimates!K64</f>
        <v>606.72</v>
      </c>
      <c r="J63" s="255" t="str">
        <f>Estimates!L64</f>
        <v/>
      </c>
      <c r="K63" s="255" t="str">
        <f>Estimates!S64</f>
        <v/>
      </c>
      <c r="L63" s="264" t="e">
        <f t="shared" si="1"/>
        <v>#VALUE!</v>
      </c>
      <c r="M63" s="63"/>
    </row>
    <row r="64" spans="1:13" ht="24" customHeight="1" x14ac:dyDescent="0.2">
      <c r="A64" s="153">
        <v>81746257</v>
      </c>
      <c r="B64" t="b">
        <f t="shared" si="2"/>
        <v>0</v>
      </c>
      <c r="D64" s="263" t="str">
        <f>Estimates!E65</f>
        <v>Tribute® Total</v>
      </c>
      <c r="E64" s="251" t="str">
        <f>Estimates!F65</f>
        <v>6 oz</v>
      </c>
      <c r="F64" s="251" t="str">
        <f>Estimates!G65</f>
        <v>Herbicide</v>
      </c>
      <c r="G64" s="252">
        <f>Estimates!H65</f>
        <v>0</v>
      </c>
      <c r="H64" s="254">
        <f>Estimates!I65</f>
        <v>445.8</v>
      </c>
      <c r="I64" s="254">
        <f>Estimates!K65</f>
        <v>445.8</v>
      </c>
      <c r="J64" s="255" t="str">
        <f>Estimates!L65</f>
        <v/>
      </c>
      <c r="K64" s="255" t="str">
        <f>Estimates!S65</f>
        <v/>
      </c>
      <c r="L64" s="264" t="e">
        <f t="shared" si="1"/>
        <v>#VALUE!</v>
      </c>
      <c r="M64" s="63"/>
    </row>
    <row r="65" spans="1:13" ht="24" customHeight="1" x14ac:dyDescent="0.2">
      <c r="A65" s="153">
        <v>11008521</v>
      </c>
      <c r="B65" t="b">
        <f t="shared" si="2"/>
        <v>0</v>
      </c>
      <c r="D65" s="263" t="str">
        <f>Estimates!E66</f>
        <v>Triple Crown® Golf Insecticide (RUP)</v>
      </c>
      <c r="E65" s="251" t="str">
        <f>Estimates!F66</f>
        <v>1 gal</v>
      </c>
      <c r="F65" s="251" t="str">
        <f>Estimates!G66</f>
        <v>Insecticide</v>
      </c>
      <c r="G65" s="252">
        <f>Estimates!H66</f>
        <v>0</v>
      </c>
      <c r="H65" s="254">
        <f>Estimates!I66</f>
        <v>371.2</v>
      </c>
      <c r="I65" s="254">
        <f>Estimates!K66</f>
        <v>371.2</v>
      </c>
      <c r="J65" s="255" t="str">
        <f>Estimates!L66</f>
        <v/>
      </c>
      <c r="K65" s="255" t="str">
        <f>Estimates!S66</f>
        <v/>
      </c>
      <c r="L65" s="264" t="e">
        <f t="shared" si="1"/>
        <v>#VALUE!</v>
      </c>
      <c r="M65" s="63"/>
    </row>
    <row r="66" spans="1:13" ht="24" customHeight="1" thickBot="1" x14ac:dyDescent="0.25">
      <c r="A66" s="153">
        <v>11008590</v>
      </c>
      <c r="B66" t="b">
        <f t="shared" si="2"/>
        <v>0</v>
      </c>
      <c r="D66" s="265" t="str">
        <f>Estimates!E67</f>
        <v>Xonerate® 2SC Herbicide</v>
      </c>
      <c r="E66" s="266" t="str">
        <f>Estimates!F67</f>
        <v>12 oz</v>
      </c>
      <c r="F66" s="266" t="str">
        <f>Estimates!G67</f>
        <v>Herbicide</v>
      </c>
      <c r="G66" s="267">
        <f>Estimates!H67</f>
        <v>0</v>
      </c>
      <c r="H66" s="269">
        <f>Estimates!I67</f>
        <v>496.32</v>
      </c>
      <c r="I66" s="269">
        <f>Estimates!K67</f>
        <v>351.12</v>
      </c>
      <c r="J66" s="270" t="str">
        <f>Estimates!L67</f>
        <v/>
      </c>
      <c r="K66" s="270" t="str">
        <f>Estimates!S67</f>
        <v/>
      </c>
      <c r="L66" s="271" t="e">
        <f t="shared" si="1"/>
        <v>#VALUE!</v>
      </c>
      <c r="M66" s="63"/>
    </row>
    <row r="67" spans="1:13" ht="24" customHeight="1" x14ac:dyDescent="0.2">
      <c r="D67" s="102" t="s">
        <v>79</v>
      </c>
      <c r="E67" s="103"/>
      <c r="F67" s="103"/>
      <c r="G67" s="104"/>
      <c r="H67" s="104"/>
      <c r="I67" s="105"/>
      <c r="J67" s="106"/>
      <c r="K67" s="106"/>
      <c r="L67" s="106"/>
      <c r="M67" s="63"/>
    </row>
    <row r="68" spans="1:13" ht="24" customHeight="1" thickBot="1" x14ac:dyDescent="0.25">
      <c r="D68" s="250"/>
      <c r="E68" s="103"/>
      <c r="F68" s="103"/>
      <c r="G68" s="104"/>
      <c r="H68" s="104"/>
      <c r="I68" s="105"/>
      <c r="J68" s="106"/>
      <c r="K68" s="106"/>
      <c r="L68" s="106"/>
      <c r="M68" s="63"/>
    </row>
    <row r="69" spans="1:13" ht="24" customHeight="1" x14ac:dyDescent="0.2">
      <c r="A69" s="156">
        <v>4250930</v>
      </c>
      <c r="B69" t="b">
        <f>G69&gt;0</f>
        <v>0</v>
      </c>
      <c r="D69" s="256" t="str">
        <f>Estimates!E73</f>
        <v>26GT™</v>
      </c>
      <c r="E69" s="257" t="str">
        <f>Estimates!F73</f>
        <v>2.5 gal</v>
      </c>
      <c r="F69" s="257" t="str">
        <f>Estimates!G73</f>
        <v>Fungicide</v>
      </c>
      <c r="G69" s="258">
        <f>Estimates!H73</f>
        <v>0</v>
      </c>
      <c r="H69" s="259"/>
      <c r="I69" s="260" t="str">
        <f>IF(OR(G69=0,G69=""),"",Estimates!I73)</f>
        <v/>
      </c>
      <c r="J69" s="261" t="str">
        <f>Estimates!L73</f>
        <v/>
      </c>
      <c r="K69" s="261" t="str">
        <f>Estimates!P73</f>
        <v/>
      </c>
      <c r="L69" s="262" t="str">
        <f>Estimates!Q73</f>
        <v/>
      </c>
      <c r="M69" s="63"/>
    </row>
    <row r="70" spans="1:13" ht="24" customHeight="1" x14ac:dyDescent="0.2">
      <c r="A70" s="152">
        <v>87300722</v>
      </c>
      <c r="B70" t="b">
        <f t="shared" ref="B70:B93" si="3">G70&gt;0</f>
        <v>0</v>
      </c>
      <c r="D70" s="263" t="str">
        <f>Estimates!E74</f>
        <v>Acclaim Extra®</v>
      </c>
      <c r="E70" s="251" t="str">
        <f>Estimates!F74</f>
        <v>1 gal</v>
      </c>
      <c r="F70" s="251" t="str">
        <f>Estimates!G74</f>
        <v>Herbicide</v>
      </c>
      <c r="G70" s="252">
        <f>Estimates!H74</f>
        <v>0</v>
      </c>
      <c r="H70" s="253"/>
      <c r="I70" s="254" t="str">
        <f>IF(OR(G70=0,G70=""),"",Estimates!I74)</f>
        <v/>
      </c>
      <c r="J70" s="255" t="str">
        <f>Estimates!L74</f>
        <v/>
      </c>
      <c r="K70" s="255" t="str">
        <f>Estimates!P74</f>
        <v/>
      </c>
      <c r="L70" s="264" t="str">
        <f>Estimates!Q74</f>
        <v/>
      </c>
      <c r="M70" s="63"/>
    </row>
    <row r="71" spans="1:13" ht="24" customHeight="1" x14ac:dyDescent="0.2">
      <c r="A71" s="153">
        <v>7271250</v>
      </c>
      <c r="B71" t="b">
        <f t="shared" si="3"/>
        <v>0</v>
      </c>
      <c r="D71" s="263" t="str">
        <f>Estimates!E75</f>
        <v>Acclaim Extra®</v>
      </c>
      <c r="E71" s="251" t="str">
        <f>Estimates!F75</f>
        <v>16 oz</v>
      </c>
      <c r="F71" s="251" t="str">
        <f>Estimates!G75</f>
        <v>Herbicide</v>
      </c>
      <c r="G71" s="252">
        <f>Estimates!H75</f>
        <v>0</v>
      </c>
      <c r="H71" s="253"/>
      <c r="I71" s="254" t="str">
        <f>IF(OR(G71=0,G71=""),"",Estimates!I75)</f>
        <v/>
      </c>
      <c r="J71" s="255" t="str">
        <f>Estimates!L75</f>
        <v/>
      </c>
      <c r="K71" s="255" t="str">
        <f>Estimates!P75</f>
        <v/>
      </c>
      <c r="L71" s="264" t="str">
        <f>Estimates!Q75</f>
        <v/>
      </c>
      <c r="M71" s="63"/>
    </row>
    <row r="72" spans="1:13" ht="24" customHeight="1" x14ac:dyDescent="0.2">
      <c r="A72" s="152">
        <v>11008351</v>
      </c>
      <c r="B72" t="b">
        <f t="shared" si="3"/>
        <v>0</v>
      </c>
      <c r="D72" s="263" t="str">
        <f>Estimates!E76</f>
        <v xml:space="preserve">Blindside® Herbicide </v>
      </c>
      <c r="E72" s="251" t="str">
        <f>Estimates!F76</f>
        <v>0.5 lb</v>
      </c>
      <c r="F72" s="251" t="str">
        <f>Estimates!G76</f>
        <v>Herbicide</v>
      </c>
      <c r="G72" s="252">
        <f>Estimates!H76</f>
        <v>0</v>
      </c>
      <c r="H72" s="253"/>
      <c r="I72" s="254" t="str">
        <f>IF(OR(G72=0,G72=""),"",Estimates!I76)</f>
        <v/>
      </c>
      <c r="J72" s="255" t="str">
        <f>Estimates!L76</f>
        <v/>
      </c>
      <c r="K72" s="255" t="str">
        <f>Estimates!P76</f>
        <v/>
      </c>
      <c r="L72" s="264" t="str">
        <f>Estimates!Q76</f>
        <v/>
      </c>
      <c r="M72" s="63"/>
    </row>
    <row r="73" spans="1:13" ht="24" customHeight="1" x14ac:dyDescent="0.2">
      <c r="A73" s="153">
        <v>4251007</v>
      </c>
      <c r="B73" t="b">
        <f t="shared" si="3"/>
        <v>0</v>
      </c>
      <c r="D73" s="263" t="str">
        <f>Estimates!E77</f>
        <v>Chipco® 26019 FLO</v>
      </c>
      <c r="E73" s="251" t="str">
        <f>Estimates!F77</f>
        <v>2.5 gal</v>
      </c>
      <c r="F73" s="251" t="str">
        <f>Estimates!G77</f>
        <v>Fungicide</v>
      </c>
      <c r="G73" s="252">
        <f>Estimates!H77</f>
        <v>0</v>
      </c>
      <c r="H73" s="253"/>
      <c r="I73" s="254" t="str">
        <f>IF(OR(G73=0,G73=""),"",Estimates!I77)</f>
        <v/>
      </c>
      <c r="J73" s="255" t="str">
        <f>Estimates!L77</f>
        <v/>
      </c>
      <c r="K73" s="255" t="str">
        <f>Estimates!P77</f>
        <v/>
      </c>
      <c r="L73" s="264" t="str">
        <f>Estimates!Q77</f>
        <v/>
      </c>
      <c r="M73" s="63"/>
    </row>
    <row r="74" spans="1:13" ht="24" customHeight="1" x14ac:dyDescent="0.2">
      <c r="A74" s="153" t="s">
        <v>90</v>
      </c>
      <c r="B74" t="b">
        <f t="shared" si="3"/>
        <v>0</v>
      </c>
      <c r="D74" s="263" t="str">
        <f>Estimates!E78</f>
        <v>Chipco® Choice</v>
      </c>
      <c r="E74" s="251" t="str">
        <f>Estimates!F78</f>
        <v>50 lb</v>
      </c>
      <c r="F74" s="251" t="str">
        <f>Estimates!G78</f>
        <v>Insecticide</v>
      </c>
      <c r="G74" s="252">
        <f>Estimates!H78</f>
        <v>0</v>
      </c>
      <c r="H74" s="253"/>
      <c r="I74" s="254" t="str">
        <f>IF(OR(G74=0,G74=""),"",Estimates!I78)</f>
        <v/>
      </c>
      <c r="J74" s="255" t="str">
        <f>Estimates!L78</f>
        <v/>
      </c>
      <c r="K74" s="255" t="str">
        <f>Estimates!P78</f>
        <v/>
      </c>
      <c r="L74" s="264" t="str">
        <f>Estimates!Q78</f>
        <v/>
      </c>
      <c r="M74" s="63"/>
    </row>
    <row r="75" spans="1:13" ht="24" customHeight="1" x14ac:dyDescent="0.2">
      <c r="A75" s="153">
        <v>11008357</v>
      </c>
      <c r="B75" t="b">
        <f t="shared" si="3"/>
        <v>0</v>
      </c>
      <c r="D75" s="263" t="str">
        <f>Estimates!E79</f>
        <v>Dismiss® CA Herbicide</v>
      </c>
      <c r="E75" s="251" t="str">
        <f>Estimates!F79</f>
        <v>6 oz</v>
      </c>
      <c r="F75" s="251" t="str">
        <f>Estimates!G79</f>
        <v>Herbicide</v>
      </c>
      <c r="G75" s="252">
        <f>Estimates!H79</f>
        <v>0</v>
      </c>
      <c r="H75" s="253"/>
      <c r="I75" s="254" t="str">
        <f>IF(OR(G75=0,G75=""),"",Estimates!I79)</f>
        <v/>
      </c>
      <c r="J75" s="255" t="str">
        <f>Estimates!L79</f>
        <v/>
      </c>
      <c r="K75" s="255" t="str">
        <f>Estimates!P79</f>
        <v/>
      </c>
      <c r="L75" s="264" t="str">
        <f>Estimates!Q79</f>
        <v/>
      </c>
      <c r="M75" s="63"/>
    </row>
    <row r="76" spans="1:13" ht="24" customHeight="1" x14ac:dyDescent="0.2">
      <c r="A76" s="152">
        <v>11008474</v>
      </c>
      <c r="B76" t="b">
        <f t="shared" si="3"/>
        <v>0</v>
      </c>
      <c r="D76" s="263" t="str">
        <f>Estimates!E80</f>
        <v>Dismiss® South Herbicide</v>
      </c>
      <c r="E76" s="251" t="str">
        <f>Estimates!F80</f>
        <v xml:space="preserve">1 pint </v>
      </c>
      <c r="F76" s="251" t="str">
        <f>Estimates!G80</f>
        <v>Herbicide</v>
      </c>
      <c r="G76" s="252">
        <f>Estimates!H80</f>
        <v>0</v>
      </c>
      <c r="H76" s="253"/>
      <c r="I76" s="254" t="str">
        <f>IF(OR(G76=0,G76=""),"",Estimates!I80)</f>
        <v/>
      </c>
      <c r="J76" s="255" t="str">
        <f>Estimates!L80</f>
        <v/>
      </c>
      <c r="K76" s="255" t="str">
        <f>Estimates!P80</f>
        <v/>
      </c>
      <c r="L76" s="264" t="str">
        <f>Estimates!Q80</f>
        <v/>
      </c>
      <c r="M76" s="63"/>
    </row>
    <row r="77" spans="1:13" ht="24" customHeight="1" x14ac:dyDescent="0.2">
      <c r="A77" s="153">
        <v>11008475</v>
      </c>
      <c r="B77" t="b">
        <f t="shared" si="3"/>
        <v>0</v>
      </c>
      <c r="D77" s="263" t="str">
        <f>Estimates!E81</f>
        <v>Dismiss® Turf Herbicide</v>
      </c>
      <c r="E77" s="251" t="str">
        <f>Estimates!F81</f>
        <v>6 oz</v>
      </c>
      <c r="F77" s="251" t="str">
        <f>Estimates!G81</f>
        <v>Herbicide</v>
      </c>
      <c r="G77" s="252">
        <f>Estimates!H81</f>
        <v>0</v>
      </c>
      <c r="H77" s="253"/>
      <c r="I77" s="254" t="str">
        <f>IF(OR(G77=0,G77=""),"",Estimates!I81)</f>
        <v/>
      </c>
      <c r="J77" s="255" t="str">
        <f>Estimates!L81</f>
        <v/>
      </c>
      <c r="K77" s="255" t="str">
        <f>Estimates!P81</f>
        <v/>
      </c>
      <c r="L77" s="264" t="str">
        <f>Estimates!Q81</f>
        <v/>
      </c>
      <c r="M77" s="63"/>
    </row>
    <row r="78" spans="1:13" ht="24" customHeight="1" x14ac:dyDescent="0.2">
      <c r="A78" s="153">
        <v>11008336</v>
      </c>
      <c r="B78" t="b">
        <f t="shared" si="3"/>
        <v>0</v>
      </c>
      <c r="D78" s="263" t="str">
        <f>Estimates!E82</f>
        <v>Dismiss® Turf Herbicide</v>
      </c>
      <c r="E78" s="251" t="str">
        <f>Estimates!F82</f>
        <v>64 oz</v>
      </c>
      <c r="F78" s="251" t="str">
        <f>Estimates!G82</f>
        <v>Herbicide</v>
      </c>
      <c r="G78" s="252">
        <f>Estimates!H82</f>
        <v>0</v>
      </c>
      <c r="H78" s="253"/>
      <c r="I78" s="254" t="str">
        <f>IF(OR(G78=0,G78=""),"",Estimates!I82)</f>
        <v/>
      </c>
      <c r="J78" s="255" t="str">
        <f>Estimates!L82</f>
        <v/>
      </c>
      <c r="K78" s="255" t="str">
        <f>Estimates!P82</f>
        <v/>
      </c>
      <c r="L78" s="264" t="str">
        <f>Estimates!Q82</f>
        <v/>
      </c>
      <c r="M78" s="63"/>
    </row>
    <row r="79" spans="1:13" ht="24" customHeight="1" x14ac:dyDescent="0.2">
      <c r="A79" s="153" t="s">
        <v>91</v>
      </c>
      <c r="B79" t="b">
        <f t="shared" si="3"/>
        <v>0</v>
      </c>
      <c r="D79" s="263" t="str">
        <f>Estimates!E83</f>
        <v>Durentis® 0.058% On-Fertilizer</v>
      </c>
      <c r="E79" s="251" t="str">
        <f>Estimates!F83</f>
        <v>50 lb</v>
      </c>
      <c r="F79" s="251" t="str">
        <f>Estimates!G83</f>
        <v>Insecticide</v>
      </c>
      <c r="G79" s="252">
        <f>Estimates!H83</f>
        <v>0</v>
      </c>
      <c r="H79" s="253"/>
      <c r="I79" s="254" t="str">
        <f>IF(OR(G79=0,G79=""),"",Estimates!I83)</f>
        <v/>
      </c>
      <c r="J79" s="255" t="str">
        <f>Estimates!L83</f>
        <v/>
      </c>
      <c r="K79" s="255" t="str">
        <f>Estimates!P83</f>
        <v/>
      </c>
      <c r="L79" s="264" t="str">
        <f>Estimates!Q83</f>
        <v/>
      </c>
      <c r="M79" s="63"/>
    </row>
    <row r="80" spans="1:13" ht="24" customHeight="1" x14ac:dyDescent="0.2">
      <c r="A80" s="152" t="s">
        <v>92</v>
      </c>
      <c r="B80" t="b">
        <f t="shared" si="3"/>
        <v>0</v>
      </c>
      <c r="D80" s="263" t="str">
        <f>Estimates!E84</f>
        <v>Durentis® 0.067% On-Fertilizer</v>
      </c>
      <c r="E80" s="251" t="str">
        <f>Estimates!F84</f>
        <v>50 lb</v>
      </c>
      <c r="F80" s="251" t="str">
        <f>Estimates!G84</f>
        <v>Insecticide</v>
      </c>
      <c r="G80" s="252">
        <f>Estimates!H84</f>
        <v>0</v>
      </c>
      <c r="H80" s="253"/>
      <c r="I80" s="254" t="str">
        <f>IF(OR(G80=0,G80=""),"",Estimates!I84)</f>
        <v/>
      </c>
      <c r="J80" s="255" t="str">
        <f>Estimates!L84</f>
        <v/>
      </c>
      <c r="K80" s="255" t="str">
        <f>Estimates!P84</f>
        <v/>
      </c>
      <c r="L80" s="264" t="str">
        <f>Estimates!Q84</f>
        <v/>
      </c>
      <c r="M80" s="63"/>
    </row>
    <row r="81" spans="1:16" ht="24" customHeight="1" x14ac:dyDescent="0.2">
      <c r="A81" s="153" t="s">
        <v>93</v>
      </c>
      <c r="B81" t="b">
        <f t="shared" si="3"/>
        <v>0</v>
      </c>
      <c r="D81" s="263" t="str">
        <f>Estimates!E85</f>
        <v xml:space="preserve">Dylox® 420 SL </v>
      </c>
      <c r="E81" s="251" t="str">
        <f>Estimates!F85</f>
        <v xml:space="preserve">2.5 gal </v>
      </c>
      <c r="F81" s="251" t="str">
        <f>Estimates!G85</f>
        <v>Insecticide</v>
      </c>
      <c r="G81" s="252">
        <f>Estimates!H85</f>
        <v>0</v>
      </c>
      <c r="H81" s="253"/>
      <c r="I81" s="254" t="str">
        <f>IF(OR(G81=0,G81=""),"",Estimates!I85)</f>
        <v/>
      </c>
      <c r="J81" s="255" t="str">
        <f>Estimates!L85</f>
        <v/>
      </c>
      <c r="K81" s="255" t="str">
        <f>Estimates!P85</f>
        <v/>
      </c>
      <c r="L81" s="264" t="str">
        <f>Estimates!Q85</f>
        <v/>
      </c>
      <c r="M81" s="63"/>
    </row>
    <row r="82" spans="1:16" ht="24" customHeight="1" x14ac:dyDescent="0.2">
      <c r="A82" s="152" t="s">
        <v>94</v>
      </c>
      <c r="B82" t="b">
        <f t="shared" si="3"/>
        <v>0</v>
      </c>
      <c r="D82" s="263" t="str">
        <f>Estimates!E86</f>
        <v>Dylox® 6.2 G</v>
      </c>
      <c r="E82" s="251" t="str">
        <f>Estimates!F86</f>
        <v>30 lb</v>
      </c>
      <c r="F82" s="251" t="str">
        <f>Estimates!G86</f>
        <v>Insecticide</v>
      </c>
      <c r="G82" s="252">
        <f>Estimates!H86</f>
        <v>0</v>
      </c>
      <c r="H82" s="253"/>
      <c r="I82" s="254" t="str">
        <f>IF(OR(G82=0,G82=""),"",Estimates!I86)</f>
        <v/>
      </c>
      <c r="J82" s="255" t="str">
        <f>Estimates!L86</f>
        <v/>
      </c>
      <c r="K82" s="255" t="str">
        <f>Estimates!P86</f>
        <v/>
      </c>
      <c r="L82" s="264" t="str">
        <f>Estimates!Q86</f>
        <v/>
      </c>
      <c r="M82" s="63"/>
    </row>
    <row r="83" spans="1:16" ht="24" customHeight="1" x14ac:dyDescent="0.2">
      <c r="A83" s="153" t="s">
        <v>95</v>
      </c>
      <c r="B83" t="b">
        <f t="shared" si="3"/>
        <v>0</v>
      </c>
      <c r="D83" s="263" t="str">
        <f>Estimates!E87</f>
        <v>Merit® 2F®</v>
      </c>
      <c r="E83" s="251" t="str">
        <f>Estimates!F87</f>
        <v>1 gal</v>
      </c>
      <c r="F83" s="251" t="str">
        <f>Estimates!G87</f>
        <v>Insecticide</v>
      </c>
      <c r="G83" s="252">
        <f>Estimates!H87</f>
        <v>0</v>
      </c>
      <c r="H83" s="253"/>
      <c r="I83" s="254" t="str">
        <f>IF(OR(G83=0,G83=""),"",Estimates!I87)</f>
        <v/>
      </c>
      <c r="J83" s="255" t="str">
        <f>Estimates!L87</f>
        <v/>
      </c>
      <c r="K83" s="255" t="str">
        <f>Estimates!P87</f>
        <v/>
      </c>
      <c r="L83" s="264" t="str">
        <f>Estimates!Q87</f>
        <v/>
      </c>
      <c r="M83" s="63"/>
    </row>
    <row r="84" spans="1:16" ht="24" customHeight="1" x14ac:dyDescent="0.2">
      <c r="A84" s="152" t="s">
        <v>96</v>
      </c>
      <c r="B84" t="b">
        <f t="shared" si="3"/>
        <v>0</v>
      </c>
      <c r="D84" s="263" t="str">
        <f>Estimates!E88</f>
        <v>Merit WP 75</v>
      </c>
      <c r="E84" s="251" t="str">
        <f>Estimates!F88</f>
        <v>1.6 oz</v>
      </c>
      <c r="F84" s="251" t="str">
        <f>Estimates!G88</f>
        <v>Insecticide</v>
      </c>
      <c r="G84" s="252">
        <f>Estimates!H88</f>
        <v>0</v>
      </c>
      <c r="H84" s="253"/>
      <c r="I84" s="254" t="str">
        <f>IF(OR(G84=0,G84=""),"",Estimates!I88)</f>
        <v/>
      </c>
      <c r="J84" s="255" t="str">
        <f>Estimates!L88</f>
        <v/>
      </c>
      <c r="K84" s="255" t="str">
        <f>Estimates!P88</f>
        <v/>
      </c>
      <c r="L84" s="264" t="str">
        <f>Estimates!Q88</f>
        <v/>
      </c>
      <c r="M84" s="63"/>
    </row>
    <row r="85" spans="1:16" ht="24" customHeight="1" x14ac:dyDescent="0.2">
      <c r="A85" s="153">
        <v>86215578</v>
      </c>
      <c r="B85" t="b">
        <f t="shared" si="3"/>
        <v>0</v>
      </c>
      <c r="D85" s="263" t="str">
        <f>Estimates!E89</f>
        <v>Prograss EC</v>
      </c>
      <c r="E85" s="251" t="str">
        <f>Estimates!F89</f>
        <v xml:space="preserve">2.5 gal </v>
      </c>
      <c r="F85" s="251" t="str">
        <f>Estimates!G89</f>
        <v>Herbicide</v>
      </c>
      <c r="G85" s="252">
        <f>Estimates!H89</f>
        <v>0</v>
      </c>
      <c r="H85" s="253"/>
      <c r="I85" s="254" t="str">
        <f>IF(OR(G85=0,G85=""),"",Estimates!I89)</f>
        <v/>
      </c>
      <c r="J85" s="255" t="str">
        <f>Estimates!L89</f>
        <v/>
      </c>
      <c r="K85" s="255" t="str">
        <f>Estimates!P89</f>
        <v/>
      </c>
      <c r="L85" s="264" t="str">
        <f>Estimates!Q89</f>
        <v/>
      </c>
      <c r="M85" s="63"/>
    </row>
    <row r="86" spans="1:16" ht="24" customHeight="1" x14ac:dyDescent="0.2">
      <c r="A86" s="152" t="s">
        <v>97</v>
      </c>
      <c r="B86" t="b">
        <f t="shared" si="3"/>
        <v>0</v>
      </c>
      <c r="D86" s="263" t="str">
        <f>Estimates!E90</f>
        <v>Proxy®</v>
      </c>
      <c r="E86" s="251" t="str">
        <f>Estimates!F90</f>
        <v xml:space="preserve">2.5 gal </v>
      </c>
      <c r="F86" s="251" t="str">
        <f>Estimates!G90</f>
        <v>PGR</v>
      </c>
      <c r="G86" s="252">
        <f>Estimates!H90</f>
        <v>0</v>
      </c>
      <c r="H86" s="253"/>
      <c r="I86" s="254" t="str">
        <f>IF(OR(G86=0,G86=""),"",Estimates!I90)</f>
        <v/>
      </c>
      <c r="J86" s="255" t="str">
        <f>Estimates!L90</f>
        <v/>
      </c>
      <c r="K86" s="255" t="str">
        <f>Estimates!P90</f>
        <v/>
      </c>
      <c r="L86" s="264" t="str">
        <f>Estimates!Q90</f>
        <v/>
      </c>
      <c r="M86" s="63"/>
    </row>
    <row r="87" spans="1:16" ht="24" customHeight="1" x14ac:dyDescent="0.2">
      <c r="A87" s="153">
        <v>11008447</v>
      </c>
      <c r="B87" t="b">
        <f t="shared" si="3"/>
        <v>0</v>
      </c>
      <c r="D87" s="263" t="str">
        <f>Estimates!E91</f>
        <v xml:space="preserve">QuickSilver® Herbicide </v>
      </c>
      <c r="E87" s="251" t="str">
        <f>Estimates!F91</f>
        <v>8 oz</v>
      </c>
      <c r="F87" s="251" t="str">
        <f>Estimates!G91</f>
        <v>Herbicide</v>
      </c>
      <c r="G87" s="252">
        <f>Estimates!H91</f>
        <v>0</v>
      </c>
      <c r="H87" s="253"/>
      <c r="I87" s="254" t="str">
        <f>IF(OR(G87=0,G87=""),"",Estimates!I91)</f>
        <v/>
      </c>
      <c r="J87" s="255" t="str">
        <f>Estimates!L91</f>
        <v/>
      </c>
      <c r="K87" s="255" t="str">
        <f>Estimates!P91</f>
        <v/>
      </c>
      <c r="L87" s="264" t="str">
        <f>Estimates!Q91</f>
        <v/>
      </c>
      <c r="M87" s="63"/>
    </row>
    <row r="88" spans="1:16" ht="24" customHeight="1" x14ac:dyDescent="0.2">
      <c r="A88" s="152">
        <v>79850980</v>
      </c>
      <c r="B88" t="b">
        <f t="shared" si="3"/>
        <v>0</v>
      </c>
      <c r="D88" s="263" t="str">
        <f>Estimates!E92</f>
        <v>Revolver®</v>
      </c>
      <c r="E88" s="251" t="str">
        <f>Estimates!F92</f>
        <v>32 fl oz</v>
      </c>
      <c r="F88" s="251" t="str">
        <f>Estimates!G92</f>
        <v>Herbicide</v>
      </c>
      <c r="G88" s="252">
        <f>Estimates!H92</f>
        <v>0</v>
      </c>
      <c r="H88" s="253"/>
      <c r="I88" s="254" t="str">
        <f>IF(OR(G88=0,G88=""),"",Estimates!I92)</f>
        <v/>
      </c>
      <c r="J88" s="255" t="str">
        <f>Estimates!L92</f>
        <v/>
      </c>
      <c r="K88" s="255" t="str">
        <f>Estimates!P92</f>
        <v/>
      </c>
      <c r="L88" s="264" t="str">
        <f>Estimates!Q92</f>
        <v/>
      </c>
      <c r="M88" s="63"/>
    </row>
    <row r="89" spans="1:16" ht="24" customHeight="1" x14ac:dyDescent="0.2">
      <c r="A89" s="152">
        <v>427709</v>
      </c>
      <c r="B89" t="b">
        <f t="shared" si="3"/>
        <v>0</v>
      </c>
      <c r="D89" s="263" t="str">
        <f>Estimates!E93</f>
        <v>Sencor 75</v>
      </c>
      <c r="E89" s="251" t="str">
        <f>Estimates!F93</f>
        <v>5 lb</v>
      </c>
      <c r="F89" s="251" t="str">
        <f>Estimates!G93</f>
        <v>Herbicide</v>
      </c>
      <c r="G89" s="252">
        <f>Estimates!H93</f>
        <v>0</v>
      </c>
      <c r="H89" s="253"/>
      <c r="I89" s="254" t="str">
        <f>IF(OR(G89=0,G89=""),"",Estimates!I93)</f>
        <v/>
      </c>
      <c r="J89" s="255" t="str">
        <f>Estimates!L93</f>
        <v/>
      </c>
      <c r="K89" s="255" t="str">
        <f>Estimates!P93</f>
        <v/>
      </c>
      <c r="L89" s="264" t="str">
        <f>Estimates!Q93</f>
        <v/>
      </c>
      <c r="M89" s="63"/>
    </row>
    <row r="90" spans="1:16" ht="24" customHeight="1" x14ac:dyDescent="0.2">
      <c r="A90" s="152">
        <v>11008482</v>
      </c>
      <c r="B90" t="b">
        <f t="shared" si="3"/>
        <v>0</v>
      </c>
      <c r="D90" s="263" t="str">
        <f>Estimates!E94</f>
        <v xml:space="preserve">Solitare® Herbicide </v>
      </c>
      <c r="E90" s="251" t="str">
        <f>Estimates!F94</f>
        <v xml:space="preserve">1 lb </v>
      </c>
      <c r="F90" s="251" t="str">
        <f>Estimates!G94</f>
        <v>Herbicide</v>
      </c>
      <c r="G90" s="252">
        <f>Estimates!H94</f>
        <v>0</v>
      </c>
      <c r="H90" s="253"/>
      <c r="I90" s="254" t="str">
        <f>IF(OR(G90=0,G90=""),"",Estimates!I94)</f>
        <v/>
      </c>
      <c r="J90" s="255" t="str">
        <f>Estimates!L94</f>
        <v/>
      </c>
      <c r="K90" s="255" t="str">
        <f>Estimates!P94</f>
        <v/>
      </c>
      <c r="L90" s="264" t="str">
        <f>Estimates!Q94</f>
        <v/>
      </c>
      <c r="M90" s="63"/>
    </row>
    <row r="91" spans="1:16" ht="24" customHeight="1" x14ac:dyDescent="0.2">
      <c r="A91" s="152">
        <v>11008369</v>
      </c>
      <c r="B91" t="b">
        <f t="shared" si="3"/>
        <v>0</v>
      </c>
      <c r="D91" s="263" t="str">
        <f>Estimates!E95</f>
        <v>Solitare® WSL Herbicide</v>
      </c>
      <c r="E91" s="251" t="str">
        <f>Estimates!F95</f>
        <v xml:space="preserve">0.75 gal </v>
      </c>
      <c r="F91" s="251" t="str">
        <f>Estimates!G95</f>
        <v>Herbicide</v>
      </c>
      <c r="G91" s="252">
        <f>Estimates!H95</f>
        <v>0</v>
      </c>
      <c r="H91" s="253"/>
      <c r="I91" s="254" t="str">
        <f>IF(OR(G91=0,G91=""),"",Estimates!I95)</f>
        <v/>
      </c>
      <c r="J91" s="255" t="str">
        <f>Estimates!L95</f>
        <v/>
      </c>
      <c r="K91" s="255" t="str">
        <f>Estimates!P95</f>
        <v/>
      </c>
      <c r="L91" s="264" t="str">
        <f>Estimates!Q95</f>
        <v/>
      </c>
      <c r="M91" s="63"/>
    </row>
    <row r="92" spans="1:16" ht="24" customHeight="1" x14ac:dyDescent="0.2">
      <c r="A92" s="296">
        <v>11008457</v>
      </c>
      <c r="B92" t="b">
        <f t="shared" si="3"/>
        <v>0</v>
      </c>
      <c r="D92" s="263" t="str">
        <f>Estimates!E96</f>
        <v xml:space="preserve">Talstar® Select Insecticide (RUP) </v>
      </c>
      <c r="E92" s="251" t="str">
        <f>Estimates!F96</f>
        <v>1 gal</v>
      </c>
      <c r="F92" s="251" t="str">
        <f>Estimates!G96</f>
        <v>Insecticide</v>
      </c>
      <c r="G92" s="252">
        <f>Estimates!H96</f>
        <v>0</v>
      </c>
      <c r="H92" s="253"/>
      <c r="I92" s="254" t="str">
        <f>IF(OR(G92=0,G92=""),"",Estimates!I96)</f>
        <v/>
      </c>
      <c r="J92" s="255" t="str">
        <f>Estimates!L96</f>
        <v/>
      </c>
      <c r="K92" s="255" t="str">
        <f>Estimates!P96</f>
        <v/>
      </c>
      <c r="L92" s="264" t="str">
        <f>Estimates!Q96</f>
        <v/>
      </c>
      <c r="M92" s="63"/>
    </row>
    <row r="93" spans="1:16" ht="24" customHeight="1" thickBot="1" x14ac:dyDescent="0.25">
      <c r="A93" s="157" t="s">
        <v>98</v>
      </c>
      <c r="B93" t="b">
        <f t="shared" si="3"/>
        <v>0</v>
      </c>
      <c r="D93" s="265" t="str">
        <f>Estimates!E97</f>
        <v>TopChoice®</v>
      </c>
      <c r="E93" s="266" t="str">
        <f>Estimates!F97</f>
        <v>50 lb</v>
      </c>
      <c r="F93" s="266" t="str">
        <f>Estimates!G97</f>
        <v>Insecticide</v>
      </c>
      <c r="G93" s="267">
        <f>Estimates!H97</f>
        <v>0</v>
      </c>
      <c r="H93" s="268"/>
      <c r="I93" s="269" t="str">
        <f>IF(OR(G93=0,G93=""),"",Estimates!I97)</f>
        <v/>
      </c>
      <c r="J93" s="270" t="str">
        <f>Estimates!L97</f>
        <v/>
      </c>
      <c r="K93" s="270" t="str">
        <f>Estimates!P97</f>
        <v/>
      </c>
      <c r="L93" s="271" t="str">
        <f>Estimates!Q97</f>
        <v/>
      </c>
      <c r="M93" s="63"/>
    </row>
    <row r="94" spans="1:16" ht="24" customHeight="1" x14ac:dyDescent="0.2">
      <c r="D94" s="71"/>
      <c r="E94" s="71"/>
      <c r="F94" s="71"/>
      <c r="G94" s="71"/>
      <c r="H94" s="63"/>
      <c r="I94" s="63"/>
      <c r="J94" s="63"/>
      <c r="K94" s="63"/>
      <c r="L94" s="63"/>
      <c r="M94" s="63"/>
    </row>
    <row r="95" spans="1:16" ht="24" customHeight="1" x14ac:dyDescent="0.2">
      <c r="D95" s="71"/>
      <c r="E95" s="71"/>
      <c r="F95" s="71"/>
      <c r="G95" s="71"/>
      <c r="H95" s="63"/>
      <c r="I95" s="63"/>
      <c r="J95" s="63"/>
      <c r="K95" s="63"/>
      <c r="L95" s="63"/>
      <c r="M95" s="63"/>
    </row>
    <row r="96" spans="1:16" ht="24" customHeight="1" thickBot="1" x14ac:dyDescent="0.3">
      <c r="A96" s="101"/>
      <c r="B96" s="101"/>
      <c r="C96" s="101"/>
      <c r="D96" s="107" t="s">
        <v>99</v>
      </c>
      <c r="E96" s="70"/>
      <c r="F96" s="70"/>
      <c r="G96" s="70"/>
      <c r="H96" s="70"/>
      <c r="I96" s="70"/>
      <c r="J96" s="70"/>
      <c r="K96" s="70"/>
      <c r="L96" s="135"/>
      <c r="N96" s="63"/>
      <c r="O96" s="63"/>
      <c r="P96" s="63"/>
    </row>
    <row r="97" spans="1:16" ht="24" customHeight="1" thickTop="1" x14ac:dyDescent="0.2">
      <c r="A97" s="101"/>
      <c r="B97" s="101"/>
      <c r="C97" s="101"/>
      <c r="D97" s="137" t="s">
        <v>100</v>
      </c>
      <c r="E97" s="137"/>
      <c r="F97" s="137"/>
      <c r="G97" s="137"/>
      <c r="H97" s="137"/>
      <c r="I97" s="137"/>
      <c r="J97" s="137"/>
      <c r="K97" s="137"/>
      <c r="L97" s="138"/>
      <c r="N97" s="63"/>
      <c r="O97" s="63"/>
      <c r="P97" s="63"/>
    </row>
    <row r="98" spans="1:16" ht="24" customHeight="1" x14ac:dyDescent="0.2">
      <c r="A98" s="101"/>
      <c r="B98" s="101"/>
      <c r="C98" s="101"/>
      <c r="D98" s="138"/>
      <c r="E98" s="138"/>
      <c r="F98" s="138"/>
      <c r="G98" s="138"/>
      <c r="H98" s="138"/>
      <c r="I98" s="138"/>
      <c r="J98" s="138"/>
      <c r="K98" s="138"/>
      <c r="L98" s="138"/>
      <c r="N98" s="63"/>
      <c r="O98" s="63"/>
      <c r="P98" s="63"/>
    </row>
    <row r="99" spans="1:16" ht="24" customHeight="1" x14ac:dyDescent="0.2">
      <c r="A99" s="101"/>
      <c r="B99" s="101"/>
      <c r="C99" s="101"/>
      <c r="D99" s="374" t="str">
        <f>Estimates!D104</f>
        <v>Estimated Total Before Off Invoice Discounts:</v>
      </c>
      <c r="E99" s="375"/>
      <c r="F99" s="375"/>
      <c r="G99" s="375"/>
      <c r="H99" s="376"/>
      <c r="I99" s="361">
        <f>Estimates!G104</f>
        <v>0</v>
      </c>
      <c r="J99" s="362"/>
      <c r="K99" s="63"/>
      <c r="L99" s="63"/>
      <c r="N99" s="63"/>
      <c r="O99" s="63"/>
      <c r="P99" s="63"/>
    </row>
    <row r="100" spans="1:16" ht="24" customHeight="1" x14ac:dyDescent="0.2">
      <c r="A100" s="101"/>
      <c r="B100" s="101"/>
      <c r="C100" s="101"/>
      <c r="D100" s="302" t="str">
        <f>Estimates!D105</f>
        <v>Estimated Invoice Total:</v>
      </c>
      <c r="E100" s="303"/>
      <c r="F100" s="303"/>
      <c r="G100" s="303"/>
      <c r="H100" s="304"/>
      <c r="I100" s="361">
        <f>Estimates!G105</f>
        <v>0</v>
      </c>
      <c r="J100" s="362"/>
      <c r="K100" s="63"/>
      <c r="L100" s="63"/>
      <c r="N100" s="63"/>
      <c r="O100" s="63"/>
      <c r="P100" s="63"/>
    </row>
    <row r="101" spans="1:16" ht="24" customHeight="1" x14ac:dyDescent="0.2">
      <c r="A101" s="101"/>
      <c r="B101" s="101"/>
      <c r="C101" s="101"/>
      <c r="D101" s="377" t="str">
        <f>Estimates!D106</f>
        <v>Estimated Off-Invoice Discount:</v>
      </c>
      <c r="E101" s="378"/>
      <c r="F101" s="378"/>
      <c r="G101" s="378"/>
      <c r="H101" s="379"/>
      <c r="I101" s="99" t="str">
        <f>Estimates!G106</f>
        <v>n/a</v>
      </c>
      <c r="J101" s="119">
        <f>Estimates!H106</f>
        <v>0</v>
      </c>
      <c r="K101" s="63"/>
      <c r="L101" s="63"/>
      <c r="N101" s="63"/>
      <c r="O101" s="63"/>
      <c r="P101" s="63"/>
    </row>
    <row r="102" spans="1:16" ht="24" customHeight="1" x14ac:dyDescent="0.2">
      <c r="A102" s="101"/>
      <c r="B102" s="101"/>
      <c r="C102" s="101"/>
      <c r="D102" s="363" t="str">
        <f>Estimates!D107</f>
        <v>Volume Buy Rebate, Envu Extras &amp; Tier Rebates:</v>
      </c>
      <c r="E102" s="364"/>
      <c r="F102" s="365"/>
      <c r="G102" s="363"/>
      <c r="H102" s="364"/>
      <c r="I102" s="366"/>
      <c r="J102" s="367"/>
      <c r="K102" s="63"/>
      <c r="L102" s="63"/>
      <c r="N102" s="63"/>
      <c r="O102" s="63"/>
      <c r="P102" s="63"/>
    </row>
    <row r="103" spans="1:16" ht="24" customHeight="1" x14ac:dyDescent="0.2">
      <c r="A103" s="101"/>
      <c r="B103" s="101"/>
      <c r="C103" s="101"/>
      <c r="D103" s="299" t="str">
        <f>Estimates!D108</f>
        <v>Estimated Total Volume Buy Rebate &amp; Durentis Insecticide + Specticle FLO Duo Rebate:</v>
      </c>
      <c r="E103" s="300"/>
      <c r="F103" s="300"/>
      <c r="G103" s="300"/>
      <c r="H103" s="301"/>
      <c r="I103" s="96" t="str">
        <f>Estimates!G108</f>
        <v>n/a</v>
      </c>
      <c r="J103" s="118">
        <f>Estimates!H108</f>
        <v>0</v>
      </c>
      <c r="K103" s="63"/>
      <c r="L103" s="63"/>
      <c r="N103" s="63"/>
      <c r="O103" s="63"/>
      <c r="P103" s="63"/>
    </row>
    <row r="104" spans="1:16" ht="24" customHeight="1" x14ac:dyDescent="0.2">
      <c r="A104" s="101"/>
      <c r="B104" s="101"/>
      <c r="C104" s="101"/>
      <c r="D104" s="299" t="str">
        <f>Estimates!D109</f>
        <v>Estimated Tier Rebate Amount:</v>
      </c>
      <c r="E104" s="300"/>
      <c r="F104" s="300"/>
      <c r="G104" s="300"/>
      <c r="H104" s="301"/>
      <c r="I104" s="96" t="str">
        <f>Estimates!G109</f>
        <v>n/a</v>
      </c>
      <c r="J104" s="118" t="str">
        <f>Estimates!H109</f>
        <v>n/a</v>
      </c>
      <c r="K104" s="63"/>
      <c r="L104" s="63"/>
      <c r="N104" s="63"/>
      <c r="O104" s="63"/>
      <c r="P104" s="63"/>
    </row>
    <row r="105" spans="1:16" ht="24" customHeight="1" x14ac:dyDescent="0.2">
      <c r="A105" s="101"/>
      <c r="B105" s="101"/>
      <c r="C105" s="101"/>
      <c r="D105" s="299" t="str">
        <f>Estimates!D110</f>
        <v>Estimated Stressgard® Rebate ($10k+):</v>
      </c>
      <c r="E105" s="300"/>
      <c r="F105" s="300"/>
      <c r="G105" s="300"/>
      <c r="H105" s="301"/>
      <c r="I105" s="96" t="str">
        <f>Estimates!G110</f>
        <v>n/a</v>
      </c>
      <c r="J105" s="118" t="str">
        <f>Estimates!H110</f>
        <v>n/a</v>
      </c>
      <c r="K105" s="63"/>
      <c r="L105" s="63"/>
      <c r="N105" s="63"/>
      <c r="O105" s="63"/>
      <c r="P105" s="63"/>
    </row>
    <row r="106" spans="1:16" ht="24" customHeight="1" x14ac:dyDescent="0.2">
      <c r="A106" s="101"/>
      <c r="B106" s="101"/>
      <c r="C106" s="101"/>
      <c r="D106" s="299" t="str">
        <f>Estimates!D111</f>
        <v>Estimated Serata Rebate (8+ units):</v>
      </c>
      <c r="E106" s="300"/>
      <c r="F106" s="300"/>
      <c r="G106" s="300"/>
      <c r="H106" s="301"/>
      <c r="I106" s="96" t="str">
        <f>Estimates!G111</f>
        <v>n/a</v>
      </c>
      <c r="J106" s="118" t="str">
        <f>Estimates!H111</f>
        <v>n/a</v>
      </c>
      <c r="K106" s="63"/>
      <c r="L106" s="63"/>
      <c r="N106" s="63"/>
      <c r="O106" s="63"/>
      <c r="P106" s="63"/>
    </row>
    <row r="107" spans="1:16" ht="24" customHeight="1" x14ac:dyDescent="0.2">
      <c r="A107" s="101"/>
      <c r="B107" s="101"/>
      <c r="C107" s="101"/>
      <c r="D107" s="299" t="str">
        <f>Estimates!D112</f>
        <v>Estimated Resilia Rebate (4+ units):</v>
      </c>
      <c r="E107" s="300"/>
      <c r="F107" s="300"/>
      <c r="G107" s="300"/>
      <c r="H107" s="301"/>
      <c r="I107" s="96" t="str">
        <f>Estimates!G112</f>
        <v>n/a</v>
      </c>
      <c r="J107" s="118" t="str">
        <f>Estimates!H112</f>
        <v>n/a</v>
      </c>
      <c r="K107" s="63"/>
      <c r="L107" s="63"/>
      <c r="N107" s="63"/>
      <c r="O107" s="63"/>
      <c r="P107" s="63"/>
    </row>
    <row r="108" spans="1:16" ht="24" customHeight="1" x14ac:dyDescent="0.2">
      <c r="A108" s="101"/>
      <c r="B108" s="101"/>
      <c r="C108" s="101"/>
      <c r="D108" s="299" t="str">
        <f>Estimates!D113</f>
        <v>October Bonus</v>
      </c>
      <c r="E108" s="300"/>
      <c r="F108" s="300"/>
      <c r="G108" s="300"/>
      <c r="H108" s="301"/>
      <c r="I108" s="96" t="str">
        <f>Estimates!G113</f>
        <v>n/a</v>
      </c>
      <c r="J108" s="118" t="str">
        <f>Estimates!H113</f>
        <v>n/a</v>
      </c>
      <c r="K108" s="63"/>
      <c r="L108" s="63"/>
      <c r="N108" s="63"/>
      <c r="O108" s="63"/>
      <c r="P108" s="63"/>
    </row>
    <row r="109" spans="1:16" ht="24" customHeight="1" x14ac:dyDescent="0.2">
      <c r="A109" s="101"/>
      <c r="B109" s="101"/>
      <c r="C109" s="101"/>
      <c r="D109" s="377" t="s">
        <v>112</v>
      </c>
      <c r="E109" s="378"/>
      <c r="F109" s="378"/>
      <c r="G109" s="378"/>
      <c r="H109" s="379"/>
      <c r="I109" s="99">
        <f>SUM(I103:I108)</f>
        <v>0</v>
      </c>
      <c r="J109" s="119">
        <f>SUM(J103:J108)</f>
        <v>0</v>
      </c>
      <c r="K109" s="63"/>
      <c r="L109" s="63"/>
      <c r="N109" s="63"/>
      <c r="O109" s="63"/>
      <c r="P109" s="63"/>
    </row>
    <row r="110" spans="1:16" ht="24" customHeight="1" x14ac:dyDescent="0.2">
      <c r="A110" s="101"/>
      <c r="B110" s="101"/>
      <c r="C110" s="101"/>
      <c r="D110" s="302" t="str">
        <f>Estimates!D115</f>
        <v xml:space="preserve">Estimated Total Savings (Rebates + Off Invoice Discounts):  </v>
      </c>
      <c r="E110" s="303"/>
      <c r="F110" s="303"/>
      <c r="G110" s="303"/>
      <c r="H110" s="304"/>
      <c r="I110" s="96" t="str">
        <f>Estimates!G115</f>
        <v>n/a</v>
      </c>
      <c r="J110" s="118">
        <f>Estimates!H115</f>
        <v>0</v>
      </c>
      <c r="K110" s="63"/>
      <c r="L110" s="63"/>
      <c r="N110" s="63"/>
      <c r="O110" s="63"/>
      <c r="P110" s="63"/>
    </row>
    <row r="111" spans="1:16" ht="24" customHeight="1" x14ac:dyDescent="0.2">
      <c r="A111" s="101"/>
      <c r="B111" s="101"/>
      <c r="C111" s="101"/>
      <c r="D111" s="305" t="str">
        <f>Estimates!D116</f>
        <v>Estimated Net Total after Rebates &amp; Discounts:</v>
      </c>
      <c r="E111" s="306"/>
      <c r="F111" s="306"/>
      <c r="G111" s="306"/>
      <c r="H111" s="307"/>
      <c r="I111" s="308">
        <f>Estimates!G116</f>
        <v>0</v>
      </c>
      <c r="J111" s="309"/>
      <c r="K111" s="63"/>
      <c r="L111" s="63"/>
      <c r="N111" s="63"/>
      <c r="O111" s="63"/>
      <c r="P111" s="63"/>
    </row>
    <row r="112" spans="1:16" ht="24" customHeight="1" thickBot="1" x14ac:dyDescent="0.25">
      <c r="A112" s="101"/>
      <c r="B112" s="101"/>
      <c r="C112" s="101"/>
      <c r="D112" s="71"/>
      <c r="E112" s="71"/>
      <c r="F112" s="71"/>
      <c r="G112" s="71"/>
      <c r="H112" s="71"/>
      <c r="I112" s="63"/>
      <c r="J112" s="63"/>
      <c r="K112" s="63"/>
      <c r="L112" s="63"/>
      <c r="N112" s="63"/>
      <c r="O112" s="63"/>
      <c r="P112" s="63"/>
    </row>
    <row r="113" spans="1:18" ht="24" customHeight="1" thickBot="1" x14ac:dyDescent="0.25">
      <c r="A113" s="101"/>
      <c r="B113" s="101"/>
      <c r="C113" s="101"/>
      <c r="D113" s="400" t="str">
        <f>Estimates!D118</f>
        <v>Estimated Envu Horizon points to be earned: 0</v>
      </c>
      <c r="E113" s="401"/>
      <c r="F113" s="401"/>
      <c r="G113" s="401"/>
      <c r="H113" s="401"/>
      <c r="I113" s="401"/>
      <c r="J113" s="402"/>
      <c r="K113" s="63"/>
      <c r="L113" s="63"/>
      <c r="N113" s="63"/>
      <c r="O113" s="63"/>
      <c r="P113" s="63"/>
    </row>
    <row r="114" spans="1:18" ht="24" customHeight="1" x14ac:dyDescent="0.2">
      <c r="A114" s="101"/>
      <c r="B114" s="101"/>
      <c r="C114" s="101"/>
      <c r="F114"/>
      <c r="G114"/>
      <c r="H114" s="1"/>
      <c r="I114" s="1"/>
    </row>
    <row r="115" spans="1:18" ht="24" customHeight="1" x14ac:dyDescent="0.2">
      <c r="A115" s="101"/>
      <c r="B115" s="101"/>
      <c r="C115" s="101"/>
      <c r="D115" s="399" t="s">
        <v>102</v>
      </c>
      <c r="E115" s="399"/>
      <c r="F115" s="399"/>
      <c r="G115" s="399"/>
      <c r="H115" s="399"/>
      <c r="I115" s="399"/>
      <c r="J115" s="399"/>
      <c r="K115" s="136"/>
      <c r="L115" s="136"/>
      <c r="N115" s="50"/>
      <c r="O115" s="50"/>
      <c r="P115" s="50"/>
      <c r="Q115" s="50"/>
      <c r="R115" s="50"/>
    </row>
    <row r="116" spans="1:18" ht="24" customHeight="1" x14ac:dyDescent="0.2">
      <c r="A116" s="101"/>
      <c r="B116" s="101"/>
      <c r="C116" s="101"/>
      <c r="D116" s="399"/>
      <c r="E116" s="399"/>
      <c r="F116" s="399"/>
      <c r="G116" s="399"/>
      <c r="H116" s="399"/>
      <c r="I116" s="399"/>
      <c r="J116" s="399"/>
      <c r="K116" s="136"/>
      <c r="L116" s="136"/>
      <c r="N116" s="50"/>
      <c r="O116" s="50"/>
      <c r="P116" s="50"/>
      <c r="Q116" s="50"/>
      <c r="R116" s="50"/>
    </row>
    <row r="117" spans="1:18" ht="24" customHeight="1" x14ac:dyDescent="0.2">
      <c r="A117" s="101"/>
      <c r="B117" s="101"/>
      <c r="C117" s="101"/>
      <c r="D117" s="399"/>
      <c r="E117" s="399"/>
      <c r="F117" s="399"/>
      <c r="G117" s="399"/>
      <c r="H117" s="399"/>
      <c r="I117" s="399"/>
      <c r="J117" s="399"/>
      <c r="K117" s="136"/>
      <c r="L117" s="136"/>
      <c r="N117" s="50"/>
      <c r="O117" s="50"/>
      <c r="P117" s="50"/>
      <c r="Q117" s="50"/>
      <c r="R117" s="50"/>
    </row>
    <row r="118" spans="1:18" ht="24" customHeight="1" x14ac:dyDescent="0.2">
      <c r="A118" s="101"/>
      <c r="B118" s="101"/>
      <c r="C118" s="101"/>
      <c r="D118" s="399"/>
      <c r="E118" s="399"/>
      <c r="F118" s="399"/>
      <c r="G118" s="399"/>
      <c r="H118" s="399"/>
      <c r="I118" s="399"/>
      <c r="J118" s="399"/>
      <c r="K118" s="136"/>
      <c r="L118" s="136"/>
      <c r="N118" s="50"/>
      <c r="O118" s="50"/>
      <c r="P118" s="50"/>
      <c r="Q118" s="50"/>
      <c r="R118" s="50"/>
    </row>
    <row r="119" spans="1:18" ht="24" customHeight="1" x14ac:dyDescent="0.2">
      <c r="A119" s="101"/>
      <c r="B119" s="101"/>
      <c r="C119" s="101"/>
      <c r="D119" s="399"/>
      <c r="E119" s="399"/>
      <c r="F119" s="399"/>
      <c r="G119" s="399"/>
      <c r="H119" s="399"/>
      <c r="I119" s="399"/>
      <c r="J119" s="399"/>
      <c r="K119" s="136"/>
      <c r="L119" s="136"/>
      <c r="N119" s="50"/>
      <c r="O119" s="50"/>
      <c r="P119" s="50"/>
      <c r="Q119" s="50"/>
      <c r="R119" s="50"/>
    </row>
    <row r="120" spans="1:18" ht="24" customHeight="1" x14ac:dyDescent="0.2">
      <c r="A120" s="101"/>
      <c r="B120" s="101"/>
      <c r="C120" s="101"/>
      <c r="D120" s="399"/>
      <c r="E120" s="399"/>
      <c r="F120" s="399"/>
      <c r="G120" s="399"/>
      <c r="H120" s="399"/>
      <c r="I120" s="399"/>
      <c r="J120" s="399"/>
      <c r="K120" s="136"/>
      <c r="L120" s="136"/>
      <c r="N120" s="50"/>
      <c r="O120" s="50"/>
      <c r="P120" s="50"/>
      <c r="Q120" s="50"/>
      <c r="R120" s="50"/>
    </row>
    <row r="121" spans="1:18" ht="24" customHeight="1" x14ac:dyDescent="0.2">
      <c r="A121" s="101"/>
      <c r="B121" s="101"/>
      <c r="C121" s="101"/>
      <c r="D121" s="399"/>
      <c r="E121" s="399"/>
      <c r="F121" s="399"/>
      <c r="G121" s="399"/>
      <c r="H121" s="399"/>
      <c r="I121" s="399"/>
      <c r="J121" s="399"/>
      <c r="K121" s="136"/>
      <c r="L121" s="136"/>
    </row>
    <row r="122" spans="1:18" ht="24" customHeight="1" x14ac:dyDescent="0.2">
      <c r="A122" s="101"/>
      <c r="B122" s="101"/>
      <c r="C122" s="101"/>
      <c r="D122" s="399"/>
      <c r="E122" s="399"/>
      <c r="F122" s="399"/>
      <c r="G122" s="399"/>
      <c r="H122" s="399"/>
      <c r="I122" s="399"/>
      <c r="J122" s="399"/>
      <c r="K122" s="136"/>
      <c r="L122" s="136"/>
    </row>
    <row r="123" spans="1:18" ht="24" customHeight="1" x14ac:dyDescent="0.2">
      <c r="A123" s="101"/>
      <c r="B123" s="101"/>
      <c r="C123" s="101"/>
      <c r="D123" s="399"/>
      <c r="E123" s="399"/>
      <c r="F123" s="399"/>
      <c r="G123" s="399"/>
      <c r="H123" s="399"/>
      <c r="I123" s="399"/>
      <c r="J123" s="399"/>
      <c r="K123" s="136"/>
      <c r="L123" s="136"/>
    </row>
    <row r="124" spans="1:18" ht="24" customHeight="1" x14ac:dyDescent="0.2">
      <c r="A124" s="101"/>
      <c r="B124" s="101"/>
      <c r="C124" s="101"/>
      <c r="D124" s="399"/>
      <c r="E124" s="399"/>
      <c r="F124" s="399"/>
      <c r="G124" s="399"/>
      <c r="H124" s="399"/>
      <c r="I124" s="399"/>
      <c r="J124" s="399"/>
      <c r="K124" s="136"/>
      <c r="L124" s="136"/>
    </row>
    <row r="125" spans="1:18" ht="24" customHeight="1" x14ac:dyDescent="0.2">
      <c r="A125" s="101"/>
      <c r="B125" s="101"/>
      <c r="C125" s="101"/>
      <c r="D125" s="399"/>
      <c r="E125" s="399"/>
      <c r="F125" s="399"/>
      <c r="G125" s="399"/>
      <c r="H125" s="399"/>
      <c r="I125" s="399"/>
      <c r="J125" s="399"/>
      <c r="K125" s="136"/>
      <c r="L125" s="136"/>
    </row>
    <row r="126" spans="1:18" ht="24" customHeight="1" x14ac:dyDescent="0.2">
      <c r="A126" s="101"/>
      <c r="B126" s="101"/>
      <c r="C126" s="101"/>
      <c r="D126" s="136"/>
      <c r="E126" s="136"/>
      <c r="F126" s="136"/>
      <c r="G126" s="136"/>
      <c r="H126" s="136"/>
      <c r="I126" s="136"/>
      <c r="J126" s="136"/>
      <c r="K126" s="136"/>
      <c r="L126" s="136"/>
    </row>
    <row r="127" spans="1:18" ht="24" customHeight="1" x14ac:dyDescent="0.2">
      <c r="A127" s="101"/>
      <c r="B127" s="101"/>
      <c r="C127" s="101"/>
      <c r="E127" s="108"/>
      <c r="F127" s="108"/>
      <c r="G127" s="108"/>
      <c r="H127" s="108"/>
      <c r="I127" s="108"/>
      <c r="J127" s="108"/>
      <c r="K127" s="108"/>
      <c r="L127" s="108"/>
      <c r="M127" s="108"/>
      <c r="N127" s="72"/>
      <c r="O127" s="72"/>
      <c r="P127" s="72"/>
      <c r="Q127" s="72"/>
      <c r="R127" s="72"/>
    </row>
    <row r="128" spans="1:18" ht="24" customHeight="1" x14ac:dyDescent="0.2">
      <c r="A128" s="101"/>
      <c r="B128" s="101"/>
      <c r="C128" s="101"/>
      <c r="F128"/>
      <c r="G128"/>
      <c r="H128" s="1"/>
      <c r="I128" s="1"/>
      <c r="N128" s="72"/>
      <c r="O128" s="72"/>
      <c r="P128" s="72"/>
      <c r="Q128" s="72"/>
      <c r="R128" s="72"/>
    </row>
  </sheetData>
  <sheetProtection algorithmName="SHA-512" hashValue="21z0W8w7h95n0DpJMial2Lm/OsI5YEAVZutq6oZRDwi8ATVhLA+bsVemetZpyeB/p4qgGDRdFrPMbySUbSZCAQ==" saltValue="rP24N9c1GSlzxJkk/OZ3IQ==" spinCount="100000" sheet="1" selectLockedCells="1"/>
  <autoFilter ref="A13:B93" xr:uid="{8A6B292D-5236-468E-9910-6066928F92CF}"/>
  <mergeCells count="37">
    <mergeCell ref="D115:J125"/>
    <mergeCell ref="I99:J99"/>
    <mergeCell ref="I100:J100"/>
    <mergeCell ref="I111:J111"/>
    <mergeCell ref="I102:J102"/>
    <mergeCell ref="D103:H103"/>
    <mergeCell ref="D104:H104"/>
    <mergeCell ref="D105:H105"/>
    <mergeCell ref="D106:H106"/>
    <mergeCell ref="D107:H107"/>
    <mergeCell ref="D108:H108"/>
    <mergeCell ref="D109:H109"/>
    <mergeCell ref="D110:H110"/>
    <mergeCell ref="D111:H111"/>
    <mergeCell ref="D113:J113"/>
    <mergeCell ref="D102:F102"/>
    <mergeCell ref="L11:L13"/>
    <mergeCell ref="D11:D13"/>
    <mergeCell ref="E11:E13"/>
    <mergeCell ref="F11:F13"/>
    <mergeCell ref="G11:G13"/>
    <mergeCell ref="H11:H13"/>
    <mergeCell ref="I11:I13"/>
    <mergeCell ref="J11:J13"/>
    <mergeCell ref="K11:K13"/>
    <mergeCell ref="G102:H102"/>
    <mergeCell ref="D99:H99"/>
    <mergeCell ref="D100:H100"/>
    <mergeCell ref="D101:H101"/>
    <mergeCell ref="A11:A13"/>
    <mergeCell ref="B11:B13"/>
    <mergeCell ref="E7:H7"/>
    <mergeCell ref="D2:H2"/>
    <mergeCell ref="E3:H3"/>
    <mergeCell ref="E4:H4"/>
    <mergeCell ref="E5:H5"/>
    <mergeCell ref="E6:H6"/>
  </mergeCells>
  <conditionalFormatting sqref="G14:L66 G69:G93 I69:L93">
    <cfRule type="expression" dxfId="142" priority="7">
      <formula>OR(ISBLANK($G14),$G14=0)</formula>
    </cfRule>
  </conditionalFormatting>
  <conditionalFormatting sqref="I69:I93">
    <cfRule type="cellIs" dxfId="141" priority="6" operator="equal">
      <formula>0</formula>
    </cfRule>
  </conditionalFormatting>
  <conditionalFormatting sqref="I101:I110">
    <cfRule type="cellIs" dxfId="140" priority="3" operator="equal">
      <formula>"n/a"</formula>
    </cfRule>
  </conditionalFormatting>
  <conditionalFormatting sqref="J103:J108">
    <cfRule type="cellIs" dxfId="139" priority="2" operator="equal">
      <formula>"n/a"</formula>
    </cfRule>
  </conditionalFormatting>
  <conditionalFormatting sqref="J110">
    <cfRule type="cellIs" dxfId="138" priority="1" operator="equal">
      <formula>"n/a"</formula>
    </cfRule>
  </conditionalFormatting>
  <pageMargins left="0.7" right="0.7" top="0.75" bottom="0.75" header="0.3" footer="0.3"/>
  <pageSetup scale="55" fitToHeight="0"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1F4D0-D76F-4EA0-A4C3-9357C078D6F1}">
  <sheetPr codeName="Sheet4"/>
  <dimension ref="A1:AJ115"/>
  <sheetViews>
    <sheetView topLeftCell="B1" zoomScaleNormal="100" workbookViewId="0">
      <pane ySplit="1" topLeftCell="A32" activePane="bottomLeft" state="frozen"/>
      <selection pane="bottomLeft" activeCell="M32" sqref="M32:M33"/>
    </sheetView>
  </sheetViews>
  <sheetFormatPr baseColWidth="10" defaultColWidth="8.83203125" defaultRowHeight="15" x14ac:dyDescent="0.2"/>
  <cols>
    <col min="1" max="1" width="15.5" bestFit="1" customWidth="1"/>
    <col min="2" max="2" width="12.5" bestFit="1" customWidth="1"/>
    <col min="3" max="3" width="11" bestFit="1" customWidth="1"/>
    <col min="4" max="4" width="9.5" bestFit="1" customWidth="1"/>
    <col min="5" max="5" width="12.1640625" bestFit="1" customWidth="1"/>
    <col min="6" max="6" width="10.6640625" bestFit="1" customWidth="1"/>
    <col min="7" max="7" width="16.1640625" bestFit="1" customWidth="1"/>
    <col min="8" max="8" width="15.1640625" bestFit="1" customWidth="1"/>
    <col min="9" max="9" width="12" bestFit="1" customWidth="1"/>
    <col min="10" max="10" width="31.1640625" bestFit="1" customWidth="1"/>
    <col min="11" max="11" width="8.5" bestFit="1" customWidth="1"/>
    <col min="12" max="12" width="21.33203125" bestFit="1" customWidth="1"/>
    <col min="13" max="13" width="12.5" bestFit="1" customWidth="1"/>
    <col min="14" max="14" width="18.83203125" bestFit="1" customWidth="1"/>
    <col min="15" max="15" width="10.5" style="163" bestFit="1" customWidth="1"/>
    <col min="16" max="16" width="11" bestFit="1" customWidth="1"/>
    <col min="17" max="17" width="11.83203125" bestFit="1" customWidth="1"/>
    <col min="18" max="18" width="19.1640625" bestFit="1" customWidth="1"/>
    <col min="19" max="19" width="15.1640625" bestFit="1" customWidth="1"/>
    <col min="20" max="20" width="14.5" bestFit="1" customWidth="1"/>
    <col min="21" max="21" width="20.1640625" bestFit="1" customWidth="1"/>
    <col min="22" max="22" width="16.1640625" bestFit="1" customWidth="1"/>
    <col min="23" max="23" width="15.5" bestFit="1" customWidth="1"/>
    <col min="24" max="24" width="17.5" bestFit="1" customWidth="1"/>
    <col min="25" max="25" width="26" bestFit="1" customWidth="1"/>
    <col min="26" max="26" width="28.1640625" bestFit="1" customWidth="1"/>
    <col min="27" max="27" width="16.6640625" bestFit="1" customWidth="1"/>
    <col min="28" max="28" width="12.1640625" bestFit="1" customWidth="1"/>
    <col min="29" max="29" width="9.5" bestFit="1" customWidth="1"/>
    <col min="30" max="30" width="12.83203125" bestFit="1" customWidth="1"/>
    <col min="31" max="31" width="6.33203125" bestFit="1" customWidth="1"/>
    <col min="32" max="32" width="16.5" bestFit="1" customWidth="1"/>
    <col min="36" max="36" width="12" bestFit="1" customWidth="1"/>
  </cols>
  <sheetData>
    <row r="1" spans="1:36" x14ac:dyDescent="0.2">
      <c r="A1" s="166" t="s">
        <v>127</v>
      </c>
      <c r="B1" s="166" t="s">
        <v>128</v>
      </c>
      <c r="C1" s="166" t="s">
        <v>129</v>
      </c>
      <c r="D1" s="166" t="s">
        <v>130</v>
      </c>
      <c r="E1" s="166" t="s">
        <v>131</v>
      </c>
      <c r="F1" s="166" t="s">
        <v>132</v>
      </c>
      <c r="G1" s="166" t="s">
        <v>133</v>
      </c>
      <c r="H1" s="166" t="s">
        <v>134</v>
      </c>
      <c r="I1" s="166" t="s">
        <v>135</v>
      </c>
      <c r="J1" s="166" t="s">
        <v>136</v>
      </c>
      <c r="K1" s="166" t="s">
        <v>137</v>
      </c>
      <c r="L1" s="166" t="s">
        <v>138</v>
      </c>
      <c r="M1" s="166" t="s">
        <v>139</v>
      </c>
      <c r="N1" s="166" t="s">
        <v>140</v>
      </c>
      <c r="O1" s="166" t="s">
        <v>141</v>
      </c>
      <c r="P1" s="166" t="s">
        <v>142</v>
      </c>
      <c r="Q1" s="166" t="s">
        <v>143</v>
      </c>
      <c r="R1" s="166" t="s">
        <v>144</v>
      </c>
      <c r="S1" s="166" t="s">
        <v>145</v>
      </c>
      <c r="T1" s="166" t="s">
        <v>146</v>
      </c>
      <c r="U1" s="166" t="s">
        <v>147</v>
      </c>
      <c r="V1" s="166" t="s">
        <v>148</v>
      </c>
      <c r="W1" s="166" t="s">
        <v>149</v>
      </c>
      <c r="X1" s="166" t="s">
        <v>150</v>
      </c>
      <c r="Y1" s="166" t="s">
        <v>151</v>
      </c>
      <c r="Z1" s="166" t="s">
        <v>152</v>
      </c>
      <c r="AA1" s="166" t="s">
        <v>153</v>
      </c>
      <c r="AB1" s="166" t="s">
        <v>154</v>
      </c>
      <c r="AC1" s="166" t="s">
        <v>155</v>
      </c>
      <c r="AD1" s="166" t="s">
        <v>156</v>
      </c>
      <c r="AE1" s="166" t="s">
        <v>157</v>
      </c>
      <c r="AF1" s="166" t="s">
        <v>111</v>
      </c>
      <c r="AJ1" s="167">
        <v>4250930</v>
      </c>
    </row>
    <row r="2" spans="1:36" hidden="1" x14ac:dyDescent="0.2">
      <c r="A2" s="80" t="s">
        <v>158</v>
      </c>
      <c r="B2" s="80" t="s">
        <v>159</v>
      </c>
      <c r="C2" s="80" t="s">
        <v>160</v>
      </c>
      <c r="D2" s="80" t="s">
        <v>161</v>
      </c>
      <c r="E2" s="80" t="s">
        <v>162</v>
      </c>
      <c r="F2" s="82" t="s">
        <v>163</v>
      </c>
      <c r="G2" s="83"/>
      <c r="H2" s="82"/>
      <c r="I2" s="84">
        <v>4250930</v>
      </c>
      <c r="J2" s="82" t="s">
        <v>164</v>
      </c>
      <c r="K2" t="s">
        <v>165</v>
      </c>
      <c r="L2" s="162">
        <v>539.95000000000005</v>
      </c>
      <c r="M2" s="162">
        <v>539.95000000000005</v>
      </c>
      <c r="N2" s="162">
        <f t="shared" ref="N2:N33" si="0">L2-M2</f>
        <v>0</v>
      </c>
      <c r="O2" s="164">
        <v>0</v>
      </c>
      <c r="P2" s="162">
        <v>31</v>
      </c>
      <c r="Q2" s="132">
        <f t="shared" ref="Q2:Q33" si="1">M2-P2</f>
        <v>508.95000000000005</v>
      </c>
      <c r="R2" s="162">
        <v>0</v>
      </c>
      <c r="S2" s="162">
        <v>0</v>
      </c>
      <c r="T2" s="162">
        <v>0</v>
      </c>
      <c r="U2" s="162">
        <v>0</v>
      </c>
      <c r="V2" s="162">
        <v>0</v>
      </c>
      <c r="W2" s="162">
        <v>0</v>
      </c>
      <c r="X2" s="150">
        <v>320</v>
      </c>
      <c r="Y2" s="276">
        <v>4</v>
      </c>
      <c r="Z2" s="276">
        <v>174.24</v>
      </c>
      <c r="AA2" s="162">
        <v>6.36</v>
      </c>
      <c r="AB2" s="162">
        <v>277.12</v>
      </c>
      <c r="AC2" s="151">
        <v>5.74E-2</v>
      </c>
      <c r="AD2" s="2"/>
      <c r="AE2" s="4">
        <v>1</v>
      </c>
      <c r="AF2" s="150" t="b">
        <v>0</v>
      </c>
      <c r="AJ2" s="168">
        <v>87300722</v>
      </c>
    </row>
    <row r="3" spans="1:36" hidden="1" x14ac:dyDescent="0.2">
      <c r="A3" s="80" t="s">
        <v>158</v>
      </c>
      <c r="B3" s="80" t="s">
        <v>159</v>
      </c>
      <c r="C3" s="80" t="s">
        <v>166</v>
      </c>
      <c r="D3" s="80" t="s">
        <v>167</v>
      </c>
      <c r="E3" s="80" t="s">
        <v>168</v>
      </c>
      <c r="F3" s="82" t="s">
        <v>163</v>
      </c>
      <c r="G3" s="83"/>
      <c r="H3" s="82"/>
      <c r="I3" s="87">
        <v>87300722</v>
      </c>
      <c r="J3" s="82" t="s">
        <v>169</v>
      </c>
      <c r="K3" t="s">
        <v>170</v>
      </c>
      <c r="L3" s="162">
        <v>678.5</v>
      </c>
      <c r="M3" s="162">
        <v>678.5</v>
      </c>
      <c r="N3" s="162">
        <f t="shared" si="0"/>
        <v>0</v>
      </c>
      <c r="O3" s="164">
        <v>0</v>
      </c>
      <c r="P3" s="162">
        <v>68</v>
      </c>
      <c r="Q3" s="133">
        <f t="shared" si="1"/>
        <v>610.5</v>
      </c>
      <c r="R3" s="162">
        <v>0</v>
      </c>
      <c r="S3" s="162">
        <v>0</v>
      </c>
      <c r="T3" s="162">
        <v>0</v>
      </c>
      <c r="U3" s="162">
        <v>0</v>
      </c>
      <c r="V3" s="162">
        <v>0</v>
      </c>
      <c r="W3" s="162">
        <v>0</v>
      </c>
      <c r="X3" s="150"/>
      <c r="Y3" s="276"/>
      <c r="Z3" s="276"/>
      <c r="AA3" s="162">
        <v>0</v>
      </c>
      <c r="AB3" s="162">
        <v>0</v>
      </c>
      <c r="AC3" s="151">
        <v>0.1002</v>
      </c>
      <c r="AD3" s="3"/>
      <c r="AE3" s="4">
        <f>IF(PRICING[[#This Row],[SKU]]=I2,AE2+1,1)</f>
        <v>1</v>
      </c>
      <c r="AF3" s="150" t="b">
        <v>0</v>
      </c>
      <c r="AJ3" s="168">
        <v>7271250</v>
      </c>
    </row>
    <row r="4" spans="1:36" hidden="1" x14ac:dyDescent="0.2">
      <c r="A4" s="80" t="s">
        <v>158</v>
      </c>
      <c r="B4" s="80" t="s">
        <v>159</v>
      </c>
      <c r="C4" s="80" t="s">
        <v>166</v>
      </c>
      <c r="D4" s="80" t="s">
        <v>167</v>
      </c>
      <c r="E4" s="80" t="s">
        <v>168</v>
      </c>
      <c r="F4" s="82" t="s">
        <v>163</v>
      </c>
      <c r="G4" s="83"/>
      <c r="H4" s="82"/>
      <c r="I4" s="87">
        <v>7271250</v>
      </c>
      <c r="J4" s="82" t="s">
        <v>169</v>
      </c>
      <c r="K4" t="s">
        <v>171</v>
      </c>
      <c r="L4" s="162">
        <v>95.68</v>
      </c>
      <c r="M4" s="162">
        <v>95.68</v>
      </c>
      <c r="N4" s="162">
        <f t="shared" si="0"/>
        <v>0</v>
      </c>
      <c r="O4" s="164">
        <v>0</v>
      </c>
      <c r="P4" s="162">
        <v>10</v>
      </c>
      <c r="Q4" s="132">
        <f t="shared" si="1"/>
        <v>85.68</v>
      </c>
      <c r="R4" s="162">
        <v>0</v>
      </c>
      <c r="S4" s="162">
        <v>0</v>
      </c>
      <c r="T4" s="162">
        <v>0</v>
      </c>
      <c r="U4" s="162">
        <v>0</v>
      </c>
      <c r="V4" s="162">
        <v>0</v>
      </c>
      <c r="W4" s="162">
        <v>0</v>
      </c>
      <c r="X4" s="150">
        <v>128</v>
      </c>
      <c r="Y4" s="276">
        <v>0.46</v>
      </c>
      <c r="Z4" s="276">
        <v>20</v>
      </c>
      <c r="AA4" s="162">
        <v>0.31</v>
      </c>
      <c r="AB4" s="162">
        <v>13.39</v>
      </c>
      <c r="AC4" s="151">
        <v>0.1045</v>
      </c>
      <c r="AD4" s="2"/>
      <c r="AE4" s="4">
        <f>IF(PRICING[[#This Row],[SKU]]=I3,AE3+1,1)</f>
        <v>1</v>
      </c>
      <c r="AF4" s="150" t="b">
        <v>0</v>
      </c>
      <c r="AJ4" s="168" t="s">
        <v>48</v>
      </c>
    </row>
    <row r="5" spans="1:36" hidden="1" x14ac:dyDescent="0.2">
      <c r="A5" s="80" t="s">
        <v>158</v>
      </c>
      <c r="B5" s="80" t="s">
        <v>172</v>
      </c>
      <c r="C5" s="80" t="s">
        <v>173</v>
      </c>
      <c r="D5" s="80" t="s">
        <v>161</v>
      </c>
      <c r="E5" s="80" t="s">
        <v>174</v>
      </c>
      <c r="F5" s="82" t="s">
        <v>175</v>
      </c>
      <c r="G5" s="85" t="s">
        <v>176</v>
      </c>
      <c r="H5" s="85"/>
      <c r="I5" s="87" t="s">
        <v>48</v>
      </c>
      <c r="J5" s="80" t="s">
        <v>177</v>
      </c>
      <c r="K5" t="s">
        <v>178</v>
      </c>
      <c r="L5" s="162">
        <v>471.04</v>
      </c>
      <c r="M5" s="162">
        <v>471.04</v>
      </c>
      <c r="N5" s="162">
        <f t="shared" si="0"/>
        <v>0</v>
      </c>
      <c r="O5" t="s">
        <v>179</v>
      </c>
      <c r="P5" s="162">
        <v>0</v>
      </c>
      <c r="Q5" s="132">
        <f t="shared" si="1"/>
        <v>471.04</v>
      </c>
      <c r="R5" s="162">
        <v>485.05</v>
      </c>
      <c r="S5" s="162">
        <v>485.05</v>
      </c>
      <c r="T5" s="162">
        <v>485.05</v>
      </c>
      <c r="U5" s="162">
        <v>474.34</v>
      </c>
      <c r="V5" s="162">
        <v>474.34</v>
      </c>
      <c r="W5" s="162">
        <v>474.34</v>
      </c>
      <c r="X5" s="150">
        <v>64</v>
      </c>
      <c r="Y5" s="276">
        <v>0.32</v>
      </c>
      <c r="Z5" s="276">
        <v>13.94</v>
      </c>
      <c r="AA5" s="162">
        <v>2.36</v>
      </c>
      <c r="AB5" s="162">
        <v>102.59</v>
      </c>
      <c r="AC5" s="151">
        <v>0</v>
      </c>
      <c r="AD5" s="2"/>
      <c r="AE5" s="4">
        <f>IF(PRICING[[#This Row],[SKU]]=I4,AE4+1,1)</f>
        <v>1</v>
      </c>
      <c r="AF5" s="150" t="b">
        <v>0</v>
      </c>
      <c r="AJ5" s="168" t="s">
        <v>49</v>
      </c>
    </row>
    <row r="6" spans="1:36" hidden="1" x14ac:dyDescent="0.2">
      <c r="A6" s="80" t="s">
        <v>158</v>
      </c>
      <c r="B6" s="80" t="s">
        <v>172</v>
      </c>
      <c r="C6" s="80" t="s">
        <v>173</v>
      </c>
      <c r="D6" s="80" t="s">
        <v>161</v>
      </c>
      <c r="E6" s="80" t="s">
        <v>174</v>
      </c>
      <c r="F6" s="82" t="s">
        <v>175</v>
      </c>
      <c r="G6" s="85" t="s">
        <v>176</v>
      </c>
      <c r="H6" s="85"/>
      <c r="I6" s="87" t="s">
        <v>49</v>
      </c>
      <c r="J6" s="80" t="s">
        <v>177</v>
      </c>
      <c r="K6" t="s">
        <v>178</v>
      </c>
      <c r="L6" s="162">
        <v>471.04</v>
      </c>
      <c r="M6" s="162">
        <v>447.36</v>
      </c>
      <c r="N6" s="162">
        <f t="shared" si="0"/>
        <v>23.680000000000007</v>
      </c>
      <c r="O6" t="s">
        <v>180</v>
      </c>
      <c r="P6" s="162">
        <v>0</v>
      </c>
      <c r="Q6" s="132">
        <f t="shared" si="1"/>
        <v>447.36</v>
      </c>
      <c r="R6" s="162">
        <v>485.05</v>
      </c>
      <c r="S6" s="162">
        <v>460.8</v>
      </c>
      <c r="T6" s="162">
        <v>460.8</v>
      </c>
      <c r="U6" s="162">
        <v>474.34</v>
      </c>
      <c r="V6" s="162">
        <v>450.56</v>
      </c>
      <c r="W6" s="162">
        <v>450.56</v>
      </c>
      <c r="X6" s="150">
        <v>64</v>
      </c>
      <c r="Y6" s="276">
        <v>0.32</v>
      </c>
      <c r="Z6" s="276">
        <v>13.94</v>
      </c>
      <c r="AA6" s="162">
        <v>2.2400000000000002</v>
      </c>
      <c r="AB6" s="162">
        <v>97.44</v>
      </c>
      <c r="AC6" s="151">
        <v>5.0299999999999997E-2</v>
      </c>
      <c r="AD6" s="2"/>
      <c r="AE6" s="4">
        <f>IF(PRICING[[#This Row],[SKU]]=I5,AE5+1,1)</f>
        <v>1</v>
      </c>
      <c r="AF6" s="150" t="b">
        <v>0</v>
      </c>
      <c r="AJ6" s="168" t="s">
        <v>50</v>
      </c>
    </row>
    <row r="7" spans="1:36" hidden="1" x14ac:dyDescent="0.2">
      <c r="A7" s="80" t="s">
        <v>158</v>
      </c>
      <c r="B7" s="80" t="s">
        <v>172</v>
      </c>
      <c r="C7" s="80" t="s">
        <v>173</v>
      </c>
      <c r="D7" s="80" t="s">
        <v>161</v>
      </c>
      <c r="E7" s="80" t="s">
        <v>174</v>
      </c>
      <c r="F7" s="82" t="s">
        <v>175</v>
      </c>
      <c r="G7" s="85" t="s">
        <v>176</v>
      </c>
      <c r="H7" s="85"/>
      <c r="I7" s="87" t="s">
        <v>50</v>
      </c>
      <c r="J7" s="80" t="s">
        <v>177</v>
      </c>
      <c r="K7" t="s">
        <v>178</v>
      </c>
      <c r="L7" s="162">
        <v>471.04</v>
      </c>
      <c r="M7" s="162">
        <v>423.68</v>
      </c>
      <c r="N7" s="162">
        <f t="shared" si="0"/>
        <v>47.360000000000014</v>
      </c>
      <c r="O7" t="s">
        <v>181</v>
      </c>
      <c r="P7" s="162">
        <v>0</v>
      </c>
      <c r="Q7" s="132">
        <f t="shared" si="1"/>
        <v>423.68</v>
      </c>
      <c r="R7" s="162">
        <v>485.05</v>
      </c>
      <c r="S7" s="162">
        <v>436.48</v>
      </c>
      <c r="T7" s="162">
        <v>436.48</v>
      </c>
      <c r="U7" s="162">
        <v>474.34</v>
      </c>
      <c r="V7" s="162">
        <v>426.88</v>
      </c>
      <c r="W7" s="162">
        <v>426.88</v>
      </c>
      <c r="X7" s="150">
        <v>64</v>
      </c>
      <c r="Y7" s="276">
        <v>0.32</v>
      </c>
      <c r="Z7" s="276">
        <v>13.94</v>
      </c>
      <c r="AA7" s="162">
        <v>2.12</v>
      </c>
      <c r="AB7" s="162">
        <v>92.28</v>
      </c>
      <c r="AC7" s="151">
        <v>0.10050000000000001</v>
      </c>
      <c r="AD7" s="2"/>
      <c r="AE7" s="4">
        <f>IF(PRICING[[#This Row],[SKU]]=I6,AE6+1,1)</f>
        <v>1</v>
      </c>
      <c r="AF7" s="150" t="b">
        <v>0</v>
      </c>
      <c r="AJ7" s="169" t="s">
        <v>51</v>
      </c>
    </row>
    <row r="8" spans="1:36" hidden="1" x14ac:dyDescent="0.2">
      <c r="A8" s="80" t="s">
        <v>158</v>
      </c>
      <c r="B8" s="80" t="s">
        <v>172</v>
      </c>
      <c r="C8" s="80" t="s">
        <v>160</v>
      </c>
      <c r="D8" s="80" t="s">
        <v>161</v>
      </c>
      <c r="E8" s="80" t="s">
        <v>162</v>
      </c>
      <c r="F8" s="82" t="s">
        <v>163</v>
      </c>
      <c r="G8" s="85">
        <v>79895402</v>
      </c>
      <c r="H8" s="85"/>
      <c r="I8" s="86" t="s">
        <v>51</v>
      </c>
      <c r="J8" s="82" t="s">
        <v>182</v>
      </c>
      <c r="K8" t="s">
        <v>183</v>
      </c>
      <c r="L8" s="162">
        <v>1363.2</v>
      </c>
      <c r="M8" s="162">
        <v>1363.2</v>
      </c>
      <c r="N8" s="162">
        <f t="shared" si="0"/>
        <v>0</v>
      </c>
      <c r="O8" s="164">
        <v>1</v>
      </c>
      <c r="P8" s="162">
        <v>0</v>
      </c>
      <c r="Q8" s="132">
        <f t="shared" si="1"/>
        <v>1363.2</v>
      </c>
      <c r="R8" s="162">
        <v>1403.76</v>
      </c>
      <c r="S8" s="162">
        <v>1403.76</v>
      </c>
      <c r="T8" s="162">
        <v>1403.76</v>
      </c>
      <c r="U8" s="162">
        <v>1372.74</v>
      </c>
      <c r="V8" s="162">
        <v>1372.74</v>
      </c>
      <c r="W8" s="162">
        <v>1372.74</v>
      </c>
      <c r="X8" s="150">
        <v>320</v>
      </c>
      <c r="Y8" s="276">
        <v>2</v>
      </c>
      <c r="Z8" s="276">
        <v>87.12</v>
      </c>
      <c r="AA8" s="162">
        <v>8.52</v>
      </c>
      <c r="AB8" s="162">
        <v>371.13</v>
      </c>
      <c r="AC8" s="151">
        <v>0</v>
      </c>
      <c r="AD8" s="2"/>
      <c r="AE8" s="4">
        <f>IF(PRICING[[#This Row],[SKU]]=I7,AE7+1,1)</f>
        <v>1</v>
      </c>
      <c r="AF8" s="150" t="b">
        <v>1</v>
      </c>
      <c r="AJ8" s="168">
        <v>11008351</v>
      </c>
    </row>
    <row r="9" spans="1:36" hidden="1" x14ac:dyDescent="0.2">
      <c r="A9" s="80" t="s">
        <v>158</v>
      </c>
      <c r="B9" s="80" t="s">
        <v>172</v>
      </c>
      <c r="C9" s="80" t="s">
        <v>160</v>
      </c>
      <c r="D9" s="80" t="s">
        <v>161</v>
      </c>
      <c r="E9" s="80" t="s">
        <v>162</v>
      </c>
      <c r="F9" s="82" t="s">
        <v>163</v>
      </c>
      <c r="G9" s="85">
        <v>79895402</v>
      </c>
      <c r="H9" s="85"/>
      <c r="I9" s="86" t="s">
        <v>51</v>
      </c>
      <c r="J9" s="82" t="s">
        <v>182</v>
      </c>
      <c r="K9" t="s">
        <v>183</v>
      </c>
      <c r="L9" s="162">
        <v>1363.2</v>
      </c>
      <c r="M9" s="162">
        <v>1363.2</v>
      </c>
      <c r="N9" s="162">
        <f t="shared" si="0"/>
        <v>0</v>
      </c>
      <c r="O9" s="164" t="s">
        <v>184</v>
      </c>
      <c r="P9" s="162">
        <v>75</v>
      </c>
      <c r="Q9" s="133">
        <f t="shared" si="1"/>
        <v>1288.2</v>
      </c>
      <c r="R9" s="162">
        <v>1403.76</v>
      </c>
      <c r="S9" s="162">
        <v>1403.76</v>
      </c>
      <c r="T9" s="162">
        <v>1328.76</v>
      </c>
      <c r="U9" s="162">
        <v>1372.74</v>
      </c>
      <c r="V9" s="162">
        <v>1372.74</v>
      </c>
      <c r="W9" s="162">
        <v>1297.74</v>
      </c>
      <c r="X9" s="150">
        <v>320</v>
      </c>
      <c r="Y9" s="276">
        <v>2</v>
      </c>
      <c r="Z9" s="276">
        <v>87.12</v>
      </c>
      <c r="AA9" s="162">
        <v>8.0500000000000007</v>
      </c>
      <c r="AB9" s="162">
        <v>350.71</v>
      </c>
      <c r="AC9" s="151">
        <v>5.5E-2</v>
      </c>
      <c r="AD9" s="3"/>
      <c r="AE9" s="4">
        <f>IF(PRICING[[#This Row],[SKU]]=I8,AE8+1,1)</f>
        <v>2</v>
      </c>
      <c r="AF9" s="150" t="b">
        <v>1</v>
      </c>
      <c r="AJ9" s="168" t="s">
        <v>52</v>
      </c>
    </row>
    <row r="10" spans="1:36" hidden="1" x14ac:dyDescent="0.2">
      <c r="A10" s="80" t="s">
        <v>158</v>
      </c>
      <c r="B10" s="80" t="s">
        <v>159</v>
      </c>
      <c r="C10" s="80" t="s">
        <v>166</v>
      </c>
      <c r="D10" s="80" t="s">
        <v>185</v>
      </c>
      <c r="E10" s="80" t="s">
        <v>168</v>
      </c>
      <c r="F10" s="82" t="s">
        <v>163</v>
      </c>
      <c r="G10" s="83"/>
      <c r="H10" s="82"/>
      <c r="I10" s="87">
        <v>11008351</v>
      </c>
      <c r="J10" s="82" t="s">
        <v>186</v>
      </c>
      <c r="K10" s="149" t="s">
        <v>187</v>
      </c>
      <c r="L10" s="162">
        <v>141.83000000000001</v>
      </c>
      <c r="M10" s="162">
        <v>141.83000000000001</v>
      </c>
      <c r="N10" s="162">
        <f t="shared" si="0"/>
        <v>0</v>
      </c>
      <c r="O10" s="164">
        <v>0</v>
      </c>
      <c r="P10" s="162">
        <v>20</v>
      </c>
      <c r="Q10" s="133">
        <f t="shared" si="1"/>
        <v>121.83000000000001</v>
      </c>
      <c r="R10" s="162">
        <v>0</v>
      </c>
      <c r="S10" s="162">
        <v>0</v>
      </c>
      <c r="T10" s="162">
        <v>0</v>
      </c>
      <c r="U10" s="162">
        <v>0</v>
      </c>
      <c r="V10" s="162">
        <v>0</v>
      </c>
      <c r="W10" s="162">
        <v>0</v>
      </c>
      <c r="X10" s="150">
        <v>8</v>
      </c>
      <c r="Y10" s="276">
        <v>0.15</v>
      </c>
      <c r="Z10" s="276">
        <v>6.5</v>
      </c>
      <c r="AA10" s="162">
        <v>2.27</v>
      </c>
      <c r="AB10" s="162">
        <v>98.99</v>
      </c>
      <c r="AC10" s="151">
        <v>0.14099999999999999</v>
      </c>
      <c r="AD10" s="3"/>
      <c r="AE10" s="4">
        <f>IF(PRICING[[#This Row],[SKU]]=I9,AE9+1,1)</f>
        <v>1</v>
      </c>
      <c r="AF10" s="150" t="b">
        <v>0</v>
      </c>
      <c r="AJ10" s="168" t="s">
        <v>53</v>
      </c>
    </row>
    <row r="11" spans="1:36" hidden="1" x14ac:dyDescent="0.2">
      <c r="A11" s="80" t="s">
        <v>158</v>
      </c>
      <c r="B11" s="80" t="s">
        <v>172</v>
      </c>
      <c r="C11" s="80" t="s">
        <v>160</v>
      </c>
      <c r="D11" s="80" t="s">
        <v>161</v>
      </c>
      <c r="E11" s="80" t="s">
        <v>162</v>
      </c>
      <c r="F11" s="82" t="s">
        <v>163</v>
      </c>
      <c r="G11" s="83"/>
      <c r="H11" s="82"/>
      <c r="I11" s="87" t="s">
        <v>52</v>
      </c>
      <c r="J11" s="80" t="s">
        <v>188</v>
      </c>
      <c r="K11" t="s">
        <v>171</v>
      </c>
      <c r="L11" s="162">
        <v>357.92</v>
      </c>
      <c r="M11" s="162">
        <v>305.60000000000002</v>
      </c>
      <c r="N11" s="162">
        <f t="shared" si="0"/>
        <v>52.319999999999993</v>
      </c>
      <c r="O11" s="164">
        <v>0</v>
      </c>
      <c r="P11" s="162">
        <v>28</v>
      </c>
      <c r="Q11" s="132">
        <f t="shared" si="1"/>
        <v>277.60000000000002</v>
      </c>
      <c r="R11" s="162">
        <v>0</v>
      </c>
      <c r="S11" s="162">
        <v>0</v>
      </c>
      <c r="T11" s="162">
        <v>0</v>
      </c>
      <c r="U11" s="162">
        <v>360.43</v>
      </c>
      <c r="V11" s="162">
        <v>307.83999999999997</v>
      </c>
      <c r="W11" s="162">
        <v>279.83999999999997</v>
      </c>
      <c r="X11" s="150">
        <v>16</v>
      </c>
      <c r="Y11" s="276">
        <v>0.36</v>
      </c>
      <c r="Z11" s="276">
        <v>15.68</v>
      </c>
      <c r="AA11" s="162">
        <v>6.25</v>
      </c>
      <c r="AB11" s="162">
        <v>272.08</v>
      </c>
      <c r="AC11" s="151">
        <v>0.22439999999999999</v>
      </c>
      <c r="AD11" s="2"/>
      <c r="AE11" s="4">
        <f>IF(PRICING[[#This Row],[SKU]]=I10,AE10+1,1)</f>
        <v>1</v>
      </c>
      <c r="AF11" s="150" t="b">
        <v>0</v>
      </c>
      <c r="AJ11" s="168" t="s">
        <v>54</v>
      </c>
    </row>
    <row r="12" spans="1:36" hidden="1" x14ac:dyDescent="0.2">
      <c r="A12" s="80" t="s">
        <v>158</v>
      </c>
      <c r="B12" s="80" t="s">
        <v>172</v>
      </c>
      <c r="C12" s="80" t="s">
        <v>160</v>
      </c>
      <c r="D12" s="80" t="s">
        <v>161</v>
      </c>
      <c r="E12" s="80" t="s">
        <v>162</v>
      </c>
      <c r="F12" s="82" t="s">
        <v>163</v>
      </c>
      <c r="G12" s="83"/>
      <c r="H12" s="82"/>
      <c r="I12" s="87" t="s">
        <v>53</v>
      </c>
      <c r="J12" s="80" t="s">
        <v>188</v>
      </c>
      <c r="K12" t="s">
        <v>170</v>
      </c>
      <c r="L12" s="162">
        <v>2298.88</v>
      </c>
      <c r="M12" s="162">
        <v>2298.88</v>
      </c>
      <c r="N12" s="162">
        <f t="shared" si="0"/>
        <v>0</v>
      </c>
      <c r="O12" s="164" t="s">
        <v>189</v>
      </c>
      <c r="P12" s="162">
        <v>100</v>
      </c>
      <c r="Q12" s="133">
        <f t="shared" si="1"/>
        <v>2198.88</v>
      </c>
      <c r="R12" s="162">
        <v>0</v>
      </c>
      <c r="S12" s="162">
        <v>0</v>
      </c>
      <c r="T12" s="162">
        <v>0</v>
      </c>
      <c r="U12" s="162">
        <v>2314.9699999999998</v>
      </c>
      <c r="V12" s="162">
        <v>2314.9699999999998</v>
      </c>
      <c r="W12" s="162">
        <v>2214.9699999999998</v>
      </c>
      <c r="X12" s="150">
        <v>128</v>
      </c>
      <c r="Y12" s="276">
        <v>0.36</v>
      </c>
      <c r="Z12" s="276">
        <v>15.68</v>
      </c>
      <c r="AA12" s="162">
        <v>6.18</v>
      </c>
      <c r="AB12" s="162">
        <v>269.39</v>
      </c>
      <c r="AC12" s="151">
        <v>4.3499999999999997E-2</v>
      </c>
      <c r="AD12" s="3"/>
      <c r="AE12" s="4">
        <f>IF(PRICING[[#This Row],[SKU]]=I11,AE11+1,1)</f>
        <v>1</v>
      </c>
      <c r="AF12" s="150" t="b">
        <v>0</v>
      </c>
      <c r="AJ12" s="168" t="s">
        <v>55</v>
      </c>
    </row>
    <row r="13" spans="1:36" hidden="1" x14ac:dyDescent="0.2">
      <c r="A13" s="80" t="s">
        <v>158</v>
      </c>
      <c r="B13" s="80" t="s">
        <v>172</v>
      </c>
      <c r="C13" s="80" t="s">
        <v>166</v>
      </c>
      <c r="D13" s="80" t="s">
        <v>185</v>
      </c>
      <c r="E13" s="80" t="s">
        <v>168</v>
      </c>
      <c r="F13" s="82" t="s">
        <v>190</v>
      </c>
      <c r="G13" s="83"/>
      <c r="H13" s="87">
        <v>79714858</v>
      </c>
      <c r="I13" s="87" t="s">
        <v>54</v>
      </c>
      <c r="J13" s="80" t="s">
        <v>191</v>
      </c>
      <c r="K13" t="s">
        <v>192</v>
      </c>
      <c r="L13" s="162">
        <v>137.19999999999999</v>
      </c>
      <c r="M13" s="162">
        <v>133.19999999999999</v>
      </c>
      <c r="N13" s="162">
        <f t="shared" si="0"/>
        <v>4</v>
      </c>
      <c r="O13" s="164" t="s">
        <v>179</v>
      </c>
      <c r="P13" s="162">
        <v>0</v>
      </c>
      <c r="Q13" s="132">
        <f t="shared" si="1"/>
        <v>133.19999999999999</v>
      </c>
      <c r="R13" s="162">
        <v>141.28</v>
      </c>
      <c r="S13" s="162">
        <v>137.19999999999999</v>
      </c>
      <c r="T13" s="162">
        <v>137.19999999999999</v>
      </c>
      <c r="U13" s="162">
        <v>138.16</v>
      </c>
      <c r="V13" s="162">
        <v>134.1</v>
      </c>
      <c r="W13" s="162">
        <v>134.1</v>
      </c>
      <c r="X13" s="150">
        <v>10</v>
      </c>
      <c r="Y13" s="276">
        <v>0.08</v>
      </c>
      <c r="Z13" s="276">
        <v>3.7</v>
      </c>
      <c r="AA13" s="162">
        <v>1.1299999999999999</v>
      </c>
      <c r="AB13" s="162">
        <v>49.28</v>
      </c>
      <c r="AC13" s="151">
        <v>2.92E-2</v>
      </c>
      <c r="AD13" s="2"/>
      <c r="AE13" s="4">
        <f>IF(PRICING[[#This Row],[SKU]]=I12,AE12+1,1)</f>
        <v>1</v>
      </c>
      <c r="AF13" s="150" t="b">
        <v>1</v>
      </c>
      <c r="AJ13" s="168">
        <v>4251007</v>
      </c>
    </row>
    <row r="14" spans="1:36" hidden="1" x14ac:dyDescent="0.2">
      <c r="A14" s="80" t="s">
        <v>158</v>
      </c>
      <c r="B14" s="80" t="s">
        <v>172</v>
      </c>
      <c r="C14" s="80" t="s">
        <v>166</v>
      </c>
      <c r="D14" s="80" t="s">
        <v>185</v>
      </c>
      <c r="E14" s="80" t="s">
        <v>168</v>
      </c>
      <c r="F14" s="82" t="s">
        <v>190</v>
      </c>
      <c r="G14" s="83"/>
      <c r="H14" s="87">
        <v>79714858</v>
      </c>
      <c r="I14" s="87" t="s">
        <v>54</v>
      </c>
      <c r="J14" s="80" t="s">
        <v>191</v>
      </c>
      <c r="K14" t="s">
        <v>192</v>
      </c>
      <c r="L14" s="162">
        <v>137.19999999999999</v>
      </c>
      <c r="M14" s="162">
        <v>133.19999999999999</v>
      </c>
      <c r="N14" s="162">
        <f t="shared" si="0"/>
        <v>4</v>
      </c>
      <c r="O14" s="164" t="s">
        <v>193</v>
      </c>
      <c r="P14" s="162">
        <v>5</v>
      </c>
      <c r="Q14" s="134">
        <f t="shared" si="1"/>
        <v>128.19999999999999</v>
      </c>
      <c r="R14" s="162">
        <v>141.28</v>
      </c>
      <c r="S14" s="162">
        <v>137.19999999999999</v>
      </c>
      <c r="T14" s="162">
        <v>132.19999999999999</v>
      </c>
      <c r="U14" s="162">
        <v>138.16</v>
      </c>
      <c r="V14" s="162">
        <v>134.1</v>
      </c>
      <c r="W14" s="162">
        <v>129.1</v>
      </c>
      <c r="X14" s="150">
        <v>10</v>
      </c>
      <c r="Y14" s="276">
        <v>0.08</v>
      </c>
      <c r="Z14" s="276">
        <v>3.7</v>
      </c>
      <c r="AA14" s="162">
        <v>1.0900000000000001</v>
      </c>
      <c r="AB14" s="162">
        <v>47.43</v>
      </c>
      <c r="AC14" s="151">
        <v>6.5600000000000006E-2</v>
      </c>
      <c r="AD14" s="81"/>
      <c r="AE14" s="4">
        <f>IF(PRICING[[#This Row],[SKU]]=I13,AE13+1,1)</f>
        <v>2</v>
      </c>
      <c r="AF14" s="150" t="b">
        <v>1</v>
      </c>
      <c r="AJ14" s="165" t="s">
        <v>90</v>
      </c>
    </row>
    <row r="15" spans="1:36" hidden="1" x14ac:dyDescent="0.2">
      <c r="A15" s="80" t="s">
        <v>158</v>
      </c>
      <c r="B15" s="80" t="s">
        <v>172</v>
      </c>
      <c r="C15" s="80" t="s">
        <v>166</v>
      </c>
      <c r="D15" s="80" t="s">
        <v>185</v>
      </c>
      <c r="E15" s="80" t="s">
        <v>168</v>
      </c>
      <c r="F15" s="80" t="s">
        <v>163</v>
      </c>
      <c r="G15" s="85" t="s">
        <v>194</v>
      </c>
      <c r="H15" s="85"/>
      <c r="I15" s="87" t="s">
        <v>55</v>
      </c>
      <c r="J15" s="80" t="s">
        <v>195</v>
      </c>
      <c r="K15" t="s">
        <v>192</v>
      </c>
      <c r="L15" s="162">
        <v>165.3</v>
      </c>
      <c r="M15" s="162">
        <v>165.3</v>
      </c>
      <c r="N15" s="162">
        <f t="shared" si="0"/>
        <v>0</v>
      </c>
      <c r="O15" s="164" t="s">
        <v>179</v>
      </c>
      <c r="P15" s="162">
        <v>0</v>
      </c>
      <c r="Q15" s="132">
        <f t="shared" si="1"/>
        <v>165.3</v>
      </c>
      <c r="R15" s="162">
        <v>0</v>
      </c>
      <c r="S15" s="162">
        <v>0</v>
      </c>
      <c r="T15" s="162">
        <v>0</v>
      </c>
      <c r="U15" s="162">
        <v>166.46</v>
      </c>
      <c r="V15" s="162">
        <v>166.46</v>
      </c>
      <c r="W15" s="162">
        <v>166.46</v>
      </c>
      <c r="X15" s="150">
        <v>10</v>
      </c>
      <c r="Y15" s="276">
        <v>0.17</v>
      </c>
      <c r="Z15" s="276">
        <v>7.5</v>
      </c>
      <c r="AA15" s="162">
        <v>2.85</v>
      </c>
      <c r="AB15" s="162">
        <v>123.98</v>
      </c>
      <c r="AC15" s="151">
        <v>0</v>
      </c>
      <c r="AD15" s="2"/>
      <c r="AE15" s="4">
        <f>IF(PRICING[[#This Row],[SKU]]=I14,AE14+1,1)</f>
        <v>1</v>
      </c>
      <c r="AF15" s="150" t="b">
        <v>0</v>
      </c>
      <c r="AJ15" s="168" t="s">
        <v>56</v>
      </c>
    </row>
    <row r="16" spans="1:36" hidden="1" x14ac:dyDescent="0.2">
      <c r="A16" s="80" t="s">
        <v>158</v>
      </c>
      <c r="B16" s="80" t="s">
        <v>172</v>
      </c>
      <c r="C16" s="80" t="s">
        <v>166</v>
      </c>
      <c r="D16" s="80" t="s">
        <v>185</v>
      </c>
      <c r="E16" s="80" t="s">
        <v>168</v>
      </c>
      <c r="F16" s="80" t="s">
        <v>163</v>
      </c>
      <c r="G16" s="85" t="s">
        <v>194</v>
      </c>
      <c r="H16" s="85"/>
      <c r="I16" s="87" t="s">
        <v>55</v>
      </c>
      <c r="J16" s="80" t="s">
        <v>195</v>
      </c>
      <c r="K16" t="s">
        <v>192</v>
      </c>
      <c r="L16" s="162">
        <v>165.3</v>
      </c>
      <c r="M16" s="162">
        <v>165.3</v>
      </c>
      <c r="N16" s="162">
        <f t="shared" si="0"/>
        <v>0</v>
      </c>
      <c r="O16" s="164" t="s">
        <v>193</v>
      </c>
      <c r="P16" s="162">
        <v>7</v>
      </c>
      <c r="Q16" s="134">
        <f t="shared" si="1"/>
        <v>158.30000000000001</v>
      </c>
      <c r="R16" s="162">
        <v>0</v>
      </c>
      <c r="S16" s="162">
        <v>0</v>
      </c>
      <c r="T16" s="162">
        <v>0</v>
      </c>
      <c r="U16" s="162">
        <v>166.46</v>
      </c>
      <c r="V16" s="162">
        <v>166.46</v>
      </c>
      <c r="W16" s="162">
        <v>159.46</v>
      </c>
      <c r="X16" s="150">
        <v>10</v>
      </c>
      <c r="Y16" s="276">
        <v>0.17</v>
      </c>
      <c r="Z16" s="276">
        <v>7.5</v>
      </c>
      <c r="AA16" s="162">
        <v>2.73</v>
      </c>
      <c r="AB16" s="162">
        <v>118.73</v>
      </c>
      <c r="AC16" s="151">
        <v>4.2299999999999997E-2</v>
      </c>
      <c r="AD16" s="81"/>
      <c r="AE16" s="4">
        <f>IF(PRICING[[#This Row],[SKU]]=I15,AE15+1,1)</f>
        <v>2</v>
      </c>
      <c r="AF16" s="150" t="b">
        <v>0</v>
      </c>
      <c r="AJ16" s="168" t="s">
        <v>57</v>
      </c>
    </row>
    <row r="17" spans="1:36" hidden="1" x14ac:dyDescent="0.2">
      <c r="A17" s="80" t="s">
        <v>158</v>
      </c>
      <c r="B17" s="80" t="s">
        <v>159</v>
      </c>
      <c r="C17" s="80" t="s">
        <v>160</v>
      </c>
      <c r="D17" s="80"/>
      <c r="E17" s="80" t="s">
        <v>162</v>
      </c>
      <c r="F17" s="82" t="s">
        <v>163</v>
      </c>
      <c r="G17" s="92"/>
      <c r="H17" s="80"/>
      <c r="I17" s="87">
        <v>4251007</v>
      </c>
      <c r="J17" s="80" t="s">
        <v>196</v>
      </c>
      <c r="K17" t="s">
        <v>165</v>
      </c>
      <c r="L17" s="162">
        <v>146.69999999999999</v>
      </c>
      <c r="M17" s="162">
        <v>146.69999999999999</v>
      </c>
      <c r="N17" s="162">
        <f t="shared" si="0"/>
        <v>0</v>
      </c>
      <c r="O17" s="164">
        <v>0</v>
      </c>
      <c r="P17" s="162">
        <v>0</v>
      </c>
      <c r="Q17" s="132">
        <f t="shared" si="1"/>
        <v>146.69999999999999</v>
      </c>
      <c r="R17" s="162">
        <v>0</v>
      </c>
      <c r="S17" s="162">
        <v>0</v>
      </c>
      <c r="T17" s="162">
        <v>0</v>
      </c>
      <c r="U17" s="162">
        <v>0</v>
      </c>
      <c r="V17" s="162">
        <v>0</v>
      </c>
      <c r="W17" s="162">
        <v>0</v>
      </c>
      <c r="X17" s="150">
        <v>800</v>
      </c>
      <c r="Y17" s="276">
        <v>4</v>
      </c>
      <c r="Z17" s="276">
        <v>174.24</v>
      </c>
      <c r="AA17" s="162">
        <v>0.73</v>
      </c>
      <c r="AB17" s="162">
        <v>31.95</v>
      </c>
      <c r="AC17" s="151">
        <v>0</v>
      </c>
      <c r="AD17" s="2"/>
      <c r="AE17" s="4">
        <f>IF(PRICING[[#This Row],[SKU]]=I16,AE16+1,1)</f>
        <v>1</v>
      </c>
      <c r="AF17" s="150" t="b">
        <v>0</v>
      </c>
      <c r="AJ17" s="168">
        <v>11008357</v>
      </c>
    </row>
    <row r="18" spans="1:36" hidden="1" x14ac:dyDescent="0.2">
      <c r="A18" s="80" t="s">
        <v>158</v>
      </c>
      <c r="B18" s="80" t="s">
        <v>159</v>
      </c>
      <c r="C18" s="80" t="s">
        <v>160</v>
      </c>
      <c r="D18" s="80" t="s">
        <v>161</v>
      </c>
      <c r="E18" s="80" t="s">
        <v>174</v>
      </c>
      <c r="F18" s="82" t="s">
        <v>163</v>
      </c>
      <c r="G18" s="85"/>
      <c r="H18" s="85"/>
      <c r="I18" t="s">
        <v>90</v>
      </c>
      <c r="J18" s="80" t="s">
        <v>197</v>
      </c>
      <c r="K18" t="s">
        <v>198</v>
      </c>
      <c r="L18" s="162">
        <v>130</v>
      </c>
      <c r="M18" s="162">
        <v>0</v>
      </c>
      <c r="N18" s="162">
        <f t="shared" si="0"/>
        <v>130</v>
      </c>
      <c r="O18" s="164">
        <v>0</v>
      </c>
      <c r="P18" s="162">
        <v>0</v>
      </c>
      <c r="Q18" s="132">
        <f t="shared" si="1"/>
        <v>0</v>
      </c>
      <c r="R18" s="162">
        <v>0</v>
      </c>
      <c r="S18" s="162">
        <v>0</v>
      </c>
      <c r="T18" s="162">
        <v>0</v>
      </c>
      <c r="U18" s="162">
        <v>0</v>
      </c>
      <c r="V18" s="162">
        <v>0</v>
      </c>
      <c r="W18" s="162">
        <v>0</v>
      </c>
      <c r="X18" s="150">
        <v>0</v>
      </c>
      <c r="Y18" s="276">
        <v>0</v>
      </c>
      <c r="Z18" s="276">
        <v>0</v>
      </c>
      <c r="AA18" s="162" t="e">
        <v>#DIV/0!</v>
      </c>
      <c r="AB18" s="162" t="e">
        <v>#DIV/0!</v>
      </c>
      <c r="AC18" s="151">
        <v>0</v>
      </c>
      <c r="AD18" s="2"/>
      <c r="AE18" s="4">
        <f>IF(PRICING[[#This Row],[SKU]]=I17,AE17+1,1)</f>
        <v>1</v>
      </c>
      <c r="AF18" s="150" t="b">
        <v>0</v>
      </c>
      <c r="AJ18" s="168">
        <v>11008409</v>
      </c>
    </row>
    <row r="19" spans="1:36" hidden="1" x14ac:dyDescent="0.2">
      <c r="A19" s="80" t="s">
        <v>158</v>
      </c>
      <c r="B19" s="80" t="s">
        <v>172</v>
      </c>
      <c r="C19" s="80" t="s">
        <v>160</v>
      </c>
      <c r="D19" s="80" t="s">
        <v>161</v>
      </c>
      <c r="E19" s="80" t="s">
        <v>162</v>
      </c>
      <c r="F19" s="82" t="s">
        <v>163</v>
      </c>
      <c r="G19" s="90" t="s">
        <v>199</v>
      </c>
      <c r="H19" s="90"/>
      <c r="I19" s="87" t="s">
        <v>56</v>
      </c>
      <c r="J19" s="80" t="s">
        <v>200</v>
      </c>
      <c r="K19" t="s">
        <v>201</v>
      </c>
      <c r="L19" s="162">
        <v>431.64</v>
      </c>
      <c r="M19" s="162">
        <v>431.64</v>
      </c>
      <c r="N19" s="162">
        <f t="shared" si="0"/>
        <v>0</v>
      </c>
      <c r="O19" s="164" t="s">
        <v>202</v>
      </c>
      <c r="P19" s="162">
        <v>8</v>
      </c>
      <c r="Q19" s="132">
        <f t="shared" si="1"/>
        <v>423.64</v>
      </c>
      <c r="R19" s="162">
        <v>444.48</v>
      </c>
      <c r="S19" s="162">
        <v>444.48</v>
      </c>
      <c r="T19" s="162">
        <v>436.48</v>
      </c>
      <c r="U19" s="162">
        <v>434.66</v>
      </c>
      <c r="V19" s="162">
        <v>434.66</v>
      </c>
      <c r="W19" s="162">
        <v>426.66</v>
      </c>
      <c r="X19" s="150">
        <v>176</v>
      </c>
      <c r="Y19" s="276">
        <v>4</v>
      </c>
      <c r="Z19" s="276">
        <v>174.24</v>
      </c>
      <c r="AA19" s="162">
        <v>9.6300000000000008</v>
      </c>
      <c r="AB19" s="162">
        <v>419.4</v>
      </c>
      <c r="AC19" s="151">
        <v>1.8499999999999999E-2</v>
      </c>
      <c r="AD19" s="2"/>
      <c r="AE19" s="4">
        <f>IF(PRICING[[#This Row],[SKU]]=I18,AE18+1,1)</f>
        <v>1</v>
      </c>
      <c r="AF19" s="150" t="b">
        <v>0</v>
      </c>
      <c r="AJ19" s="168">
        <v>11008589</v>
      </c>
    </row>
    <row r="20" spans="1:36" hidden="1" x14ac:dyDescent="0.2">
      <c r="A20" s="80" t="s">
        <v>158</v>
      </c>
      <c r="B20" s="80" t="s">
        <v>172</v>
      </c>
      <c r="C20" s="80" t="s">
        <v>160</v>
      </c>
      <c r="D20" s="80" t="s">
        <v>161</v>
      </c>
      <c r="E20" s="80" t="s">
        <v>162</v>
      </c>
      <c r="F20" s="82" t="s">
        <v>163</v>
      </c>
      <c r="G20" s="90" t="s">
        <v>199</v>
      </c>
      <c r="H20" s="90"/>
      <c r="I20" s="87" t="s">
        <v>56</v>
      </c>
      <c r="J20" s="80" t="s">
        <v>200</v>
      </c>
      <c r="K20" t="s">
        <v>201</v>
      </c>
      <c r="L20" s="162">
        <v>431.64</v>
      </c>
      <c r="M20" s="162">
        <v>431.64</v>
      </c>
      <c r="N20" s="162">
        <f t="shared" si="0"/>
        <v>0</v>
      </c>
      <c r="O20" s="164" t="s">
        <v>203</v>
      </c>
      <c r="P20" s="162">
        <v>24</v>
      </c>
      <c r="Q20" s="132">
        <f t="shared" si="1"/>
        <v>407.64</v>
      </c>
      <c r="R20" s="162">
        <v>444.48</v>
      </c>
      <c r="S20" s="162">
        <v>444.48</v>
      </c>
      <c r="T20" s="162">
        <v>420.48</v>
      </c>
      <c r="U20" s="162">
        <v>434.66</v>
      </c>
      <c r="V20" s="162">
        <v>434.66</v>
      </c>
      <c r="W20" s="162">
        <v>410.66</v>
      </c>
      <c r="X20" s="150">
        <v>176</v>
      </c>
      <c r="Y20" s="276">
        <v>4</v>
      </c>
      <c r="Z20" s="276">
        <v>174.24</v>
      </c>
      <c r="AA20" s="162">
        <v>9.26</v>
      </c>
      <c r="AB20" s="162">
        <v>403.56</v>
      </c>
      <c r="AC20" s="151">
        <v>5.5599999999999997E-2</v>
      </c>
      <c r="AD20" s="2"/>
      <c r="AE20" s="4">
        <f>IF(PRICING[[#This Row],[SKU]]=I19,AE19+1,1)</f>
        <v>2</v>
      </c>
      <c r="AF20" s="150" t="b">
        <v>0</v>
      </c>
      <c r="AJ20" s="168">
        <v>11008474</v>
      </c>
    </row>
    <row r="21" spans="1:36" hidden="1" x14ac:dyDescent="0.2">
      <c r="A21" s="80" t="s">
        <v>158</v>
      </c>
      <c r="B21" s="80" t="s">
        <v>172</v>
      </c>
      <c r="C21" s="80" t="s">
        <v>160</v>
      </c>
      <c r="D21" s="80" t="s">
        <v>161</v>
      </c>
      <c r="E21" s="80" t="s">
        <v>162</v>
      </c>
      <c r="F21" s="82" t="s">
        <v>163</v>
      </c>
      <c r="G21" s="90" t="s">
        <v>204</v>
      </c>
      <c r="H21" s="90" t="s">
        <v>205</v>
      </c>
      <c r="I21" s="87" t="s">
        <v>57</v>
      </c>
      <c r="J21" s="80" t="s">
        <v>206</v>
      </c>
      <c r="K21" t="s">
        <v>207</v>
      </c>
      <c r="L21" s="162">
        <v>712.98</v>
      </c>
      <c r="M21" s="162">
        <v>712.98</v>
      </c>
      <c r="N21" s="162">
        <f t="shared" si="0"/>
        <v>0</v>
      </c>
      <c r="O21" s="164" t="s">
        <v>208</v>
      </c>
      <c r="P21" s="162">
        <v>100</v>
      </c>
      <c r="Q21" s="132">
        <f t="shared" si="1"/>
        <v>612.98</v>
      </c>
      <c r="R21" s="162">
        <v>0</v>
      </c>
      <c r="S21" s="162">
        <v>0</v>
      </c>
      <c r="T21" s="162">
        <v>0</v>
      </c>
      <c r="U21" s="162">
        <v>717.97</v>
      </c>
      <c r="V21" s="162">
        <v>717.97</v>
      </c>
      <c r="W21" s="162">
        <v>617.97</v>
      </c>
      <c r="X21" s="150">
        <v>51</v>
      </c>
      <c r="Y21" s="276">
        <v>0.2</v>
      </c>
      <c r="Z21" s="276">
        <v>8.5399999999999991</v>
      </c>
      <c r="AA21" s="162">
        <v>2.36</v>
      </c>
      <c r="AB21" s="162">
        <v>102.62</v>
      </c>
      <c r="AC21" s="151">
        <v>0.14030000000000001</v>
      </c>
      <c r="AD21" s="2"/>
      <c r="AE21" s="4">
        <f>IF(PRICING[[#This Row],[SKU]]=I20,AE20+1,1)</f>
        <v>1</v>
      </c>
      <c r="AF21" s="150" t="b">
        <v>1</v>
      </c>
      <c r="AJ21" s="168">
        <v>11008475</v>
      </c>
    </row>
    <row r="22" spans="1:36" hidden="1" x14ac:dyDescent="0.2">
      <c r="A22" s="80" t="s">
        <v>158</v>
      </c>
      <c r="B22" s="80" t="s">
        <v>172</v>
      </c>
      <c r="C22" s="80" t="s">
        <v>160</v>
      </c>
      <c r="D22" s="80" t="s">
        <v>161</v>
      </c>
      <c r="E22" s="80" t="s">
        <v>162</v>
      </c>
      <c r="F22" s="82" t="s">
        <v>163</v>
      </c>
      <c r="G22" s="90" t="s">
        <v>204</v>
      </c>
      <c r="H22" s="90" t="s">
        <v>205</v>
      </c>
      <c r="I22" s="87" t="s">
        <v>57</v>
      </c>
      <c r="J22" s="80" t="s">
        <v>206</v>
      </c>
      <c r="K22" t="s">
        <v>207</v>
      </c>
      <c r="L22" s="162">
        <v>712.98</v>
      </c>
      <c r="M22" s="162">
        <v>712.98</v>
      </c>
      <c r="N22" s="162">
        <f t="shared" si="0"/>
        <v>0</v>
      </c>
      <c r="O22" s="164" t="s">
        <v>209</v>
      </c>
      <c r="P22" s="162">
        <v>150</v>
      </c>
      <c r="Q22" s="134">
        <f t="shared" si="1"/>
        <v>562.98</v>
      </c>
      <c r="R22" s="162">
        <v>0</v>
      </c>
      <c r="S22" s="162">
        <v>0</v>
      </c>
      <c r="T22" s="162">
        <v>0</v>
      </c>
      <c r="U22" s="162">
        <v>717.97</v>
      </c>
      <c r="V22" s="162">
        <v>717.97</v>
      </c>
      <c r="W22" s="162">
        <v>567.97</v>
      </c>
      <c r="X22" s="150">
        <v>51</v>
      </c>
      <c r="Y22" s="276">
        <v>0.2</v>
      </c>
      <c r="Z22" s="276">
        <v>8.5399999999999991</v>
      </c>
      <c r="AA22" s="162">
        <v>2.16</v>
      </c>
      <c r="AB22" s="162">
        <v>94.25</v>
      </c>
      <c r="AC22" s="151">
        <v>0.2104</v>
      </c>
      <c r="AD22" s="81"/>
      <c r="AE22" s="4">
        <f>IF(PRICING[[#This Row],[SKU]]=I21,AE21+1,1)</f>
        <v>2</v>
      </c>
      <c r="AF22" s="150" t="b">
        <v>1</v>
      </c>
      <c r="AJ22" s="168">
        <v>11008336</v>
      </c>
    </row>
    <row r="23" spans="1:36" hidden="1" x14ac:dyDescent="0.2">
      <c r="A23" s="80" t="s">
        <v>210</v>
      </c>
      <c r="B23" s="80" t="s">
        <v>159</v>
      </c>
      <c r="C23" s="80" t="s">
        <v>166</v>
      </c>
      <c r="D23" s="80" t="s">
        <v>185</v>
      </c>
      <c r="E23" s="80" t="s">
        <v>168</v>
      </c>
      <c r="F23" s="82" t="s">
        <v>163</v>
      </c>
      <c r="G23" s="83"/>
      <c r="H23" s="82"/>
      <c r="I23" s="87">
        <v>11008357</v>
      </c>
      <c r="J23" s="82" t="s">
        <v>211</v>
      </c>
      <c r="K23" t="s">
        <v>212</v>
      </c>
      <c r="L23" s="162">
        <v>68.13</v>
      </c>
      <c r="M23" s="162">
        <v>61.32</v>
      </c>
      <c r="N23" s="162">
        <f t="shared" si="0"/>
        <v>6.8099999999999952</v>
      </c>
      <c r="O23" s="164">
        <v>0</v>
      </c>
      <c r="P23" s="162">
        <v>18</v>
      </c>
      <c r="Q23" s="132">
        <f t="shared" si="1"/>
        <v>43.32</v>
      </c>
      <c r="R23" s="162">
        <v>70.16</v>
      </c>
      <c r="S23" s="162">
        <v>63.35</v>
      </c>
      <c r="T23" s="162">
        <v>45.35</v>
      </c>
      <c r="U23" s="162">
        <v>0</v>
      </c>
      <c r="V23" s="162">
        <v>0</v>
      </c>
      <c r="W23" s="162">
        <v>0</v>
      </c>
      <c r="X23" s="150">
        <v>6</v>
      </c>
      <c r="Y23" s="276">
        <v>0</v>
      </c>
      <c r="Z23" s="276">
        <v>0</v>
      </c>
      <c r="AA23" s="162">
        <v>0</v>
      </c>
      <c r="AB23" s="162">
        <v>0</v>
      </c>
      <c r="AC23" s="151">
        <v>0.36420000000000002</v>
      </c>
      <c r="AD23" s="2"/>
      <c r="AE23" s="4">
        <f>IF(PRICING[[#This Row],[SKU]]=I22,AE22+1,1)</f>
        <v>1</v>
      </c>
      <c r="AF23" s="150" t="b">
        <v>0</v>
      </c>
      <c r="AJ23" s="168" t="s">
        <v>91</v>
      </c>
    </row>
    <row r="24" spans="1:36" hidden="1" x14ac:dyDescent="0.2">
      <c r="A24" s="80" t="s">
        <v>210</v>
      </c>
      <c r="B24" s="80" t="s">
        <v>172</v>
      </c>
      <c r="C24" s="80" t="s">
        <v>173</v>
      </c>
      <c r="D24" s="80" t="s">
        <v>161</v>
      </c>
      <c r="E24" s="80" t="s">
        <v>168</v>
      </c>
      <c r="F24" s="82" t="s">
        <v>163</v>
      </c>
      <c r="G24" s="83"/>
      <c r="H24" s="82"/>
      <c r="I24" s="87">
        <v>11008409</v>
      </c>
      <c r="J24" s="80" t="s">
        <v>213</v>
      </c>
      <c r="K24" t="s">
        <v>192</v>
      </c>
      <c r="L24" s="162">
        <v>99.1</v>
      </c>
      <c r="M24" s="162">
        <v>94.3</v>
      </c>
      <c r="N24" s="162">
        <f t="shared" si="0"/>
        <v>4.7999999999999972</v>
      </c>
      <c r="O24" s="164">
        <v>0</v>
      </c>
      <c r="P24" s="162">
        <v>5</v>
      </c>
      <c r="Q24" s="134">
        <f t="shared" si="1"/>
        <v>89.3</v>
      </c>
      <c r="R24" s="162">
        <v>0</v>
      </c>
      <c r="S24" s="162">
        <v>0</v>
      </c>
      <c r="T24" s="162">
        <v>0</v>
      </c>
      <c r="U24" s="162">
        <v>99.79</v>
      </c>
      <c r="V24" s="162">
        <v>95</v>
      </c>
      <c r="W24" s="162">
        <v>90</v>
      </c>
      <c r="X24" s="150">
        <v>10</v>
      </c>
      <c r="Y24" s="276">
        <v>0.23</v>
      </c>
      <c r="Z24" s="276">
        <v>10.199999999999999</v>
      </c>
      <c r="AA24" s="162">
        <v>2.09</v>
      </c>
      <c r="AB24" s="162">
        <v>91.09</v>
      </c>
      <c r="AC24" s="151">
        <v>9.8900000000000002E-2</v>
      </c>
      <c r="AD24" s="81"/>
      <c r="AE24" s="4">
        <f>IF(PRICING[[#This Row],[SKU]]=I23,AE23+1,1)</f>
        <v>1</v>
      </c>
      <c r="AF24" s="150" t="b">
        <v>0</v>
      </c>
      <c r="AJ24" s="168" t="s">
        <v>92</v>
      </c>
    </row>
    <row r="25" spans="1:36" hidden="1" x14ac:dyDescent="0.2">
      <c r="A25" s="80" t="s">
        <v>210</v>
      </c>
      <c r="B25" s="80" t="s">
        <v>172</v>
      </c>
      <c r="C25" s="80" t="s">
        <v>173</v>
      </c>
      <c r="D25" s="80" t="s">
        <v>161</v>
      </c>
      <c r="E25" s="80" t="s">
        <v>168</v>
      </c>
      <c r="F25" s="82" t="s">
        <v>163</v>
      </c>
      <c r="G25" s="83"/>
      <c r="H25" s="82"/>
      <c r="I25" s="87">
        <v>11008589</v>
      </c>
      <c r="J25" s="80" t="s">
        <v>213</v>
      </c>
      <c r="K25" t="s">
        <v>214</v>
      </c>
      <c r="L25" s="162">
        <v>528</v>
      </c>
      <c r="M25" s="162">
        <v>512.4</v>
      </c>
      <c r="N25" s="162">
        <f t="shared" si="0"/>
        <v>15.600000000000023</v>
      </c>
      <c r="O25" s="164" t="s">
        <v>215</v>
      </c>
      <c r="P25" s="162">
        <v>24</v>
      </c>
      <c r="Q25" s="132">
        <f t="shared" si="1"/>
        <v>488.4</v>
      </c>
      <c r="R25" s="162">
        <v>0</v>
      </c>
      <c r="S25" s="162">
        <v>0</v>
      </c>
      <c r="T25" s="162">
        <v>0</v>
      </c>
      <c r="U25" s="162">
        <v>531.70000000000005</v>
      </c>
      <c r="V25" s="162">
        <v>516</v>
      </c>
      <c r="W25" s="162">
        <v>492</v>
      </c>
      <c r="X25" s="150">
        <v>60</v>
      </c>
      <c r="Y25" s="276">
        <v>0.23</v>
      </c>
      <c r="Z25" s="276">
        <v>10.199999999999999</v>
      </c>
      <c r="AA25" s="162">
        <v>1.91</v>
      </c>
      <c r="AB25" s="162">
        <v>83.03</v>
      </c>
      <c r="AC25" s="151">
        <v>7.4999999999999997E-2</v>
      </c>
      <c r="AD25" s="2"/>
      <c r="AE25" s="4">
        <f>IF(PRICING[[#This Row],[SKU]]=I24,AE24+1,1)</f>
        <v>1</v>
      </c>
      <c r="AF25" s="150" t="b">
        <v>0</v>
      </c>
      <c r="AJ25" s="168">
        <v>11015390</v>
      </c>
    </row>
    <row r="26" spans="1:36" hidden="1" x14ac:dyDescent="0.2">
      <c r="A26" s="80" t="s">
        <v>210</v>
      </c>
      <c r="B26" s="80" t="s">
        <v>172</v>
      </c>
      <c r="C26" s="80" t="s">
        <v>173</v>
      </c>
      <c r="D26" s="80" t="s">
        <v>161</v>
      </c>
      <c r="E26" s="80" t="s">
        <v>168</v>
      </c>
      <c r="F26" s="80" t="s">
        <v>163</v>
      </c>
      <c r="G26" s="83"/>
      <c r="H26" s="82"/>
      <c r="I26" s="87">
        <v>11008589</v>
      </c>
      <c r="J26" t="s">
        <v>213</v>
      </c>
      <c r="K26" t="s">
        <v>214</v>
      </c>
      <c r="L26" s="162">
        <v>528</v>
      </c>
      <c r="M26" s="162">
        <v>512.4</v>
      </c>
      <c r="N26" s="162">
        <f t="shared" si="0"/>
        <v>15.600000000000023</v>
      </c>
      <c r="O26" s="164" t="s">
        <v>216</v>
      </c>
      <c r="P26" s="162">
        <v>58</v>
      </c>
      <c r="Q26" s="132">
        <f t="shared" si="1"/>
        <v>454.4</v>
      </c>
      <c r="R26" s="162">
        <v>0</v>
      </c>
      <c r="S26" s="162">
        <v>0</v>
      </c>
      <c r="T26" s="162">
        <v>0</v>
      </c>
      <c r="U26" s="162">
        <v>531.70000000000005</v>
      </c>
      <c r="V26" s="162">
        <v>516</v>
      </c>
      <c r="W26" s="162">
        <v>458</v>
      </c>
      <c r="X26" s="150">
        <v>60</v>
      </c>
      <c r="Y26" s="276">
        <v>0.23</v>
      </c>
      <c r="Z26" s="276">
        <v>10.199999999999999</v>
      </c>
      <c r="AA26" s="162">
        <v>1.77</v>
      </c>
      <c r="AB26" s="162">
        <v>77.25</v>
      </c>
      <c r="AC26" s="151">
        <v>0.1394</v>
      </c>
      <c r="AD26" s="2"/>
      <c r="AE26" s="4">
        <f>IF(PRICING[[#This Row],[SKU]]=I25,AE25+1,1)</f>
        <v>2</v>
      </c>
      <c r="AF26" s="150" t="b">
        <v>0</v>
      </c>
      <c r="AJ26" s="168">
        <v>11015391</v>
      </c>
    </row>
    <row r="27" spans="1:36" hidden="1" x14ac:dyDescent="0.2">
      <c r="A27" s="80" t="s">
        <v>210</v>
      </c>
      <c r="B27" s="80" t="s">
        <v>159</v>
      </c>
      <c r="C27" s="80" t="s">
        <v>166</v>
      </c>
      <c r="D27" s="80" t="s">
        <v>185</v>
      </c>
      <c r="E27" s="80" t="s">
        <v>168</v>
      </c>
      <c r="F27" s="82" t="s">
        <v>163</v>
      </c>
      <c r="G27" s="83"/>
      <c r="H27" s="82"/>
      <c r="I27" s="87">
        <v>11008474</v>
      </c>
      <c r="J27" s="82" t="s">
        <v>217</v>
      </c>
      <c r="K27" t="s">
        <v>218</v>
      </c>
      <c r="L27" s="162">
        <v>158.66</v>
      </c>
      <c r="M27" s="162">
        <v>158.66</v>
      </c>
      <c r="N27" s="162">
        <f t="shared" si="0"/>
        <v>0</v>
      </c>
      <c r="O27" s="164">
        <v>0</v>
      </c>
      <c r="P27" s="162">
        <v>25</v>
      </c>
      <c r="Q27" s="134">
        <f t="shared" si="1"/>
        <v>133.66</v>
      </c>
      <c r="R27" s="162">
        <v>0</v>
      </c>
      <c r="S27" s="162">
        <v>0</v>
      </c>
      <c r="T27" s="162">
        <v>0</v>
      </c>
      <c r="U27" s="162">
        <v>0</v>
      </c>
      <c r="V27" s="162">
        <v>0</v>
      </c>
      <c r="W27" s="162">
        <v>0</v>
      </c>
      <c r="X27" s="150">
        <v>16</v>
      </c>
      <c r="Y27" s="276">
        <v>0.22</v>
      </c>
      <c r="Z27" s="276">
        <v>9.5</v>
      </c>
      <c r="AA27" s="162">
        <v>1.82</v>
      </c>
      <c r="AB27" s="162">
        <v>79.36</v>
      </c>
      <c r="AC27" s="151">
        <v>0.15759999999999999</v>
      </c>
      <c r="AD27" s="81"/>
      <c r="AE27" s="4">
        <f>IF(PRICING[[#This Row],[SKU]]=I26,AE26+1,1)</f>
        <v>1</v>
      </c>
      <c r="AF27" s="150" t="b">
        <v>0</v>
      </c>
      <c r="AJ27" s="168" t="s">
        <v>93</v>
      </c>
    </row>
    <row r="28" spans="1:36" hidden="1" x14ac:dyDescent="0.2">
      <c r="A28" s="80" t="s">
        <v>210</v>
      </c>
      <c r="B28" s="80" t="s">
        <v>159</v>
      </c>
      <c r="C28" s="80" t="s">
        <v>166</v>
      </c>
      <c r="D28" s="80" t="s">
        <v>161</v>
      </c>
      <c r="E28" s="80" t="s">
        <v>168</v>
      </c>
      <c r="F28" s="82" t="s">
        <v>163</v>
      </c>
      <c r="G28" s="83"/>
      <c r="H28" s="82"/>
      <c r="I28" s="87">
        <v>11008475</v>
      </c>
      <c r="J28" s="82" t="s">
        <v>219</v>
      </c>
      <c r="K28" t="s">
        <v>212</v>
      </c>
      <c r="L28" s="162">
        <v>68.13</v>
      </c>
      <c r="M28" s="162">
        <v>61.32</v>
      </c>
      <c r="N28" s="162">
        <f t="shared" si="0"/>
        <v>6.8099999999999952</v>
      </c>
      <c r="O28" s="164">
        <v>0</v>
      </c>
      <c r="P28" s="162">
        <v>18</v>
      </c>
      <c r="Q28" s="132">
        <f t="shared" si="1"/>
        <v>43.32</v>
      </c>
      <c r="R28" s="162">
        <v>0</v>
      </c>
      <c r="S28" s="162">
        <v>0</v>
      </c>
      <c r="T28" s="162">
        <v>0</v>
      </c>
      <c r="U28" s="162">
        <v>0</v>
      </c>
      <c r="V28" s="162">
        <v>0</v>
      </c>
      <c r="W28" s="162">
        <v>0</v>
      </c>
      <c r="X28" s="150">
        <v>6</v>
      </c>
      <c r="Y28" s="276">
        <v>0.18</v>
      </c>
      <c r="Z28" s="276">
        <v>8</v>
      </c>
      <c r="AA28" s="162">
        <v>1.33</v>
      </c>
      <c r="AB28" s="162">
        <v>57.76</v>
      </c>
      <c r="AC28" s="151">
        <v>0.36420000000000002</v>
      </c>
      <c r="AD28" s="2"/>
      <c r="AE28" s="4">
        <f>IF(PRICING[[#This Row],[SKU]]=I27,AE27+1,1)</f>
        <v>1</v>
      </c>
      <c r="AF28" s="150" t="b">
        <v>0</v>
      </c>
      <c r="AJ28" s="168" t="s">
        <v>94</v>
      </c>
    </row>
    <row r="29" spans="1:36" hidden="1" x14ac:dyDescent="0.2">
      <c r="A29" s="80" t="s">
        <v>210</v>
      </c>
      <c r="B29" s="80" t="s">
        <v>159</v>
      </c>
      <c r="C29" s="80" t="s">
        <v>166</v>
      </c>
      <c r="D29" s="80" t="s">
        <v>161</v>
      </c>
      <c r="E29" s="80" t="s">
        <v>168</v>
      </c>
      <c r="F29" s="82" t="s">
        <v>163</v>
      </c>
      <c r="G29" s="83"/>
      <c r="H29" s="82"/>
      <c r="I29" s="87">
        <v>11008336</v>
      </c>
      <c r="J29" s="82" t="s">
        <v>219</v>
      </c>
      <c r="K29" t="s">
        <v>178</v>
      </c>
      <c r="L29" s="162">
        <v>302.88</v>
      </c>
      <c r="M29" s="162">
        <v>272.58999999999997</v>
      </c>
      <c r="N29" s="162">
        <f t="shared" si="0"/>
        <v>30.29000000000002</v>
      </c>
      <c r="O29" s="164">
        <v>0</v>
      </c>
      <c r="P29" s="162">
        <v>40</v>
      </c>
      <c r="Q29" s="132">
        <f t="shared" si="1"/>
        <v>232.58999999999997</v>
      </c>
      <c r="R29" s="162">
        <v>0</v>
      </c>
      <c r="S29" s="162">
        <v>0</v>
      </c>
      <c r="T29" s="162">
        <v>0</v>
      </c>
      <c r="U29" s="162">
        <v>0</v>
      </c>
      <c r="V29" s="162">
        <v>0</v>
      </c>
      <c r="W29" s="162">
        <v>0</v>
      </c>
      <c r="X29" s="150">
        <v>64</v>
      </c>
      <c r="Y29" s="276">
        <v>0.18</v>
      </c>
      <c r="Z29" s="276">
        <v>8</v>
      </c>
      <c r="AA29" s="162">
        <v>0.67</v>
      </c>
      <c r="AB29" s="162">
        <v>29.07</v>
      </c>
      <c r="AC29" s="151">
        <v>0.2321</v>
      </c>
      <c r="AD29" s="2"/>
      <c r="AE29" s="4">
        <f>IF(PRICING[[#This Row],[SKU]]=I28,AE28+1,1)</f>
        <v>1</v>
      </c>
      <c r="AF29" s="150" t="b">
        <v>0</v>
      </c>
      <c r="AJ29" s="168">
        <v>11008464</v>
      </c>
    </row>
    <row r="30" spans="1:36" hidden="1" x14ac:dyDescent="0.2">
      <c r="A30" s="80" t="s">
        <v>210</v>
      </c>
      <c r="B30" s="80" t="s">
        <v>159</v>
      </c>
      <c r="C30" s="80" t="s">
        <v>166</v>
      </c>
      <c r="D30" s="80" t="s">
        <v>161</v>
      </c>
      <c r="E30" s="80" t="s">
        <v>174</v>
      </c>
      <c r="F30" s="82" t="s">
        <v>163</v>
      </c>
      <c r="G30" s="92"/>
      <c r="H30" s="80"/>
      <c r="I30" s="87" t="s">
        <v>91</v>
      </c>
      <c r="J30" s="82" t="s">
        <v>220</v>
      </c>
      <c r="K30" t="s">
        <v>198</v>
      </c>
      <c r="L30" s="162">
        <v>20</v>
      </c>
      <c r="M30" s="162">
        <v>20</v>
      </c>
      <c r="N30" s="162">
        <f t="shared" si="0"/>
        <v>0</v>
      </c>
      <c r="O30" s="164">
        <v>0</v>
      </c>
      <c r="P30" s="162">
        <v>2.5</v>
      </c>
      <c r="Q30" s="134">
        <f t="shared" si="1"/>
        <v>17.5</v>
      </c>
      <c r="R30" s="162">
        <v>0</v>
      </c>
      <c r="S30" s="162">
        <v>0</v>
      </c>
      <c r="T30" s="162">
        <v>0</v>
      </c>
      <c r="U30" s="162">
        <v>0</v>
      </c>
      <c r="V30" s="162">
        <v>0</v>
      </c>
      <c r="W30" s="162">
        <v>0</v>
      </c>
      <c r="X30" s="150">
        <v>50</v>
      </c>
      <c r="Y30" s="276">
        <v>4.0199999999999996</v>
      </c>
      <c r="Z30" s="276">
        <v>175</v>
      </c>
      <c r="AA30" s="162">
        <v>1.41</v>
      </c>
      <c r="AB30" s="162">
        <v>61.25</v>
      </c>
      <c r="AC30" s="151">
        <v>0.125</v>
      </c>
      <c r="AD30" s="81"/>
      <c r="AE30" s="4">
        <f>IF(PRICING[[#This Row],[SKU]]=I29,AE29+1,1)</f>
        <v>1</v>
      </c>
      <c r="AF30" s="150" t="b">
        <v>0</v>
      </c>
      <c r="AJ30" s="170" t="s">
        <v>58</v>
      </c>
    </row>
    <row r="31" spans="1:36" hidden="1" x14ac:dyDescent="0.2">
      <c r="A31" s="80" t="s">
        <v>210</v>
      </c>
      <c r="B31" s="80" t="s">
        <v>159</v>
      </c>
      <c r="C31" s="80" t="s">
        <v>166</v>
      </c>
      <c r="D31" s="80" t="s">
        <v>161</v>
      </c>
      <c r="E31" s="80" t="s">
        <v>174</v>
      </c>
      <c r="F31" s="80" t="s">
        <v>163</v>
      </c>
      <c r="G31" s="92"/>
      <c r="H31" s="80"/>
      <c r="I31" s="87" t="s">
        <v>92</v>
      </c>
      <c r="J31" s="82" t="s">
        <v>221</v>
      </c>
      <c r="K31" t="s">
        <v>198</v>
      </c>
      <c r="L31" s="162">
        <v>25</v>
      </c>
      <c r="M31" s="162">
        <v>25</v>
      </c>
      <c r="N31" s="162">
        <f t="shared" si="0"/>
        <v>0</v>
      </c>
      <c r="O31" s="164">
        <v>0</v>
      </c>
      <c r="P31" s="162">
        <v>5.5</v>
      </c>
      <c r="Q31" s="132">
        <f t="shared" si="1"/>
        <v>19.5</v>
      </c>
      <c r="R31" s="162">
        <v>0</v>
      </c>
      <c r="S31" s="162">
        <v>0</v>
      </c>
      <c r="T31" s="162">
        <v>0</v>
      </c>
      <c r="U31" s="162">
        <v>0</v>
      </c>
      <c r="V31" s="162">
        <v>0</v>
      </c>
      <c r="W31" s="162">
        <v>0</v>
      </c>
      <c r="X31" s="150">
        <v>50</v>
      </c>
      <c r="Y31" s="276">
        <v>3.44</v>
      </c>
      <c r="Z31" s="276">
        <v>149.69</v>
      </c>
      <c r="AA31" s="162">
        <v>1.34</v>
      </c>
      <c r="AB31" s="162">
        <v>58.38</v>
      </c>
      <c r="AC31" s="151">
        <v>0.22</v>
      </c>
      <c r="AD31" s="2"/>
      <c r="AE31" s="4">
        <f>IF(PRICING[[#This Row],[SKU]]=I30,AE30+1,1)</f>
        <v>1</v>
      </c>
      <c r="AF31" s="150" t="b">
        <v>0</v>
      </c>
      <c r="AJ31" s="168">
        <v>11008377</v>
      </c>
    </row>
    <row r="32" spans="1:36" x14ac:dyDescent="0.2">
      <c r="A32" s="80" t="s">
        <v>210</v>
      </c>
      <c r="B32" s="80" t="s">
        <v>172</v>
      </c>
      <c r="C32" s="80" t="s">
        <v>166</v>
      </c>
      <c r="D32" s="80" t="s">
        <v>161</v>
      </c>
      <c r="E32" s="80" t="s">
        <v>174</v>
      </c>
      <c r="F32" s="80" t="s">
        <v>190</v>
      </c>
      <c r="G32" s="80"/>
      <c r="H32" s="80"/>
      <c r="I32" s="87">
        <v>11015390</v>
      </c>
      <c r="J32" t="s">
        <v>222</v>
      </c>
      <c r="K32" t="s">
        <v>171</v>
      </c>
      <c r="L32" s="162">
        <v>658.72</v>
      </c>
      <c r="M32" s="297">
        <v>560.64</v>
      </c>
      <c r="N32" s="162">
        <f t="shared" si="0"/>
        <v>98.080000000000041</v>
      </c>
      <c r="O32" s="164" t="s">
        <v>215</v>
      </c>
      <c r="P32" s="162">
        <v>0</v>
      </c>
      <c r="Q32" s="132">
        <f t="shared" si="1"/>
        <v>560.64</v>
      </c>
      <c r="R32" s="162">
        <v>678.32</v>
      </c>
      <c r="S32" s="162">
        <v>577.28</v>
      </c>
      <c r="T32" s="162">
        <v>577.28</v>
      </c>
      <c r="U32" s="162">
        <v>663.33</v>
      </c>
      <c r="V32" s="162">
        <v>564.64</v>
      </c>
      <c r="W32" s="162">
        <v>564.64</v>
      </c>
      <c r="X32" s="150">
        <v>16</v>
      </c>
      <c r="Y32" s="276">
        <v>0.06</v>
      </c>
      <c r="Z32" s="276">
        <v>2.7</v>
      </c>
      <c r="AA32" s="162">
        <v>1.96</v>
      </c>
      <c r="AB32" s="162">
        <v>85.5</v>
      </c>
      <c r="AC32" s="151">
        <v>0.3231673548700511</v>
      </c>
      <c r="AD32" s="2"/>
      <c r="AE32" s="4">
        <f>IF(PRICING[[#This Row],[SKU]]=I31,AE31+1,1)</f>
        <v>1</v>
      </c>
      <c r="AF32" s="150" t="b">
        <v>1</v>
      </c>
      <c r="AJ32" s="168">
        <v>11008393</v>
      </c>
    </row>
    <row r="33" spans="1:36" x14ac:dyDescent="0.2">
      <c r="A33" s="80" t="s">
        <v>210</v>
      </c>
      <c r="B33" s="80" t="s">
        <v>172</v>
      </c>
      <c r="C33" s="80" t="s">
        <v>166</v>
      </c>
      <c r="D33" s="80" t="s">
        <v>161</v>
      </c>
      <c r="E33" s="80" t="s">
        <v>174</v>
      </c>
      <c r="F33" s="80" t="s">
        <v>190</v>
      </c>
      <c r="G33" s="80"/>
      <c r="H33" s="80"/>
      <c r="I33" s="87">
        <v>11015390</v>
      </c>
      <c r="J33" t="s">
        <v>222</v>
      </c>
      <c r="K33" t="s">
        <v>171</v>
      </c>
      <c r="L33" s="162">
        <v>658.72</v>
      </c>
      <c r="M33" s="297">
        <v>560.64</v>
      </c>
      <c r="N33" s="162">
        <f t="shared" si="0"/>
        <v>98.080000000000041</v>
      </c>
      <c r="O33" s="164" t="s">
        <v>216</v>
      </c>
      <c r="P33" s="162">
        <v>185</v>
      </c>
      <c r="Q33" s="134">
        <f t="shared" si="1"/>
        <v>375.64</v>
      </c>
      <c r="R33" s="162">
        <v>678.32</v>
      </c>
      <c r="S33" s="162">
        <v>577.28</v>
      </c>
      <c r="T33" s="162">
        <v>392.28</v>
      </c>
      <c r="U33" s="162">
        <v>663.33</v>
      </c>
      <c r="V33" s="162">
        <v>564.64</v>
      </c>
      <c r="W33" s="162">
        <v>379.64</v>
      </c>
      <c r="X33" s="150">
        <v>16</v>
      </c>
      <c r="Y33" s="276">
        <v>0.06</v>
      </c>
      <c r="Z33" s="276">
        <v>2.7</v>
      </c>
      <c r="AA33" s="162">
        <v>1.25</v>
      </c>
      <c r="AB33" s="162">
        <v>54.28</v>
      </c>
      <c r="AC33" s="151">
        <v>0.51171969880981294</v>
      </c>
      <c r="AD33" s="81"/>
      <c r="AE33" s="4">
        <f>IF(PRICING[[#This Row],[SKU]]=I32,AE32+1,1)</f>
        <v>2</v>
      </c>
      <c r="AF33" s="150" t="b">
        <v>1</v>
      </c>
      <c r="AJ33" s="168">
        <v>11008557</v>
      </c>
    </row>
    <row r="34" spans="1:36" x14ac:dyDescent="0.2">
      <c r="A34" s="80" t="s">
        <v>210</v>
      </c>
      <c r="B34" s="80" t="s">
        <v>172</v>
      </c>
      <c r="C34" s="80" t="s">
        <v>166</v>
      </c>
      <c r="D34" s="80" t="s">
        <v>161</v>
      </c>
      <c r="E34" s="80" t="s">
        <v>174</v>
      </c>
      <c r="F34" s="80" t="s">
        <v>190</v>
      </c>
      <c r="G34" s="80"/>
      <c r="H34" s="80"/>
      <c r="I34" s="87">
        <v>11015391</v>
      </c>
      <c r="J34" t="s">
        <v>222</v>
      </c>
      <c r="K34" t="s">
        <v>178</v>
      </c>
      <c r="L34" s="162">
        <v>2470.4</v>
      </c>
      <c r="M34" s="162">
        <v>2100.48</v>
      </c>
      <c r="N34" s="162">
        <f t="shared" ref="N34:N65" si="2">L34-M34</f>
        <v>369.92000000000007</v>
      </c>
      <c r="O34" s="164">
        <v>1</v>
      </c>
      <c r="P34" s="162">
        <v>0</v>
      </c>
      <c r="Q34" s="132">
        <f t="shared" ref="Q34:Q65" si="3">M34-P34</f>
        <v>2100.48</v>
      </c>
      <c r="R34" s="162">
        <v>2543.89</v>
      </c>
      <c r="S34" s="162">
        <v>2162.56</v>
      </c>
      <c r="T34" s="162">
        <v>2162.56</v>
      </c>
      <c r="U34" s="162">
        <v>2487.69</v>
      </c>
      <c r="V34" s="162">
        <v>2114.56</v>
      </c>
      <c r="W34" s="162">
        <v>2114.56</v>
      </c>
      <c r="X34" s="150">
        <v>64</v>
      </c>
      <c r="Y34" s="276">
        <v>0.06</v>
      </c>
      <c r="Z34" s="276">
        <v>2.7</v>
      </c>
      <c r="AA34" s="162">
        <v>2.0299999999999998</v>
      </c>
      <c r="AB34" s="162">
        <v>88.61</v>
      </c>
      <c r="AC34" s="151">
        <v>0.14974093264248711</v>
      </c>
      <c r="AD34" s="2"/>
      <c r="AE34" s="4">
        <f>IF(PRICING[[#This Row],[SKU]]=I33,AE33+1,1)</f>
        <v>1</v>
      </c>
      <c r="AF34" s="150" t="b">
        <v>1</v>
      </c>
      <c r="AJ34" s="168">
        <v>11009500</v>
      </c>
    </row>
    <row r="35" spans="1:36" x14ac:dyDescent="0.2">
      <c r="A35" s="80" t="s">
        <v>210</v>
      </c>
      <c r="B35" s="80" t="s">
        <v>172</v>
      </c>
      <c r="C35" s="80" t="s">
        <v>166</v>
      </c>
      <c r="D35" s="80" t="s">
        <v>161</v>
      </c>
      <c r="E35" s="80" t="s">
        <v>174</v>
      </c>
      <c r="F35" s="80" t="s">
        <v>190</v>
      </c>
      <c r="G35" s="80"/>
      <c r="H35" s="80"/>
      <c r="I35" s="87">
        <v>11015391</v>
      </c>
      <c r="J35" t="s">
        <v>222</v>
      </c>
      <c r="K35" s="125" t="s">
        <v>178</v>
      </c>
      <c r="L35" s="162">
        <v>2470.4</v>
      </c>
      <c r="M35" s="162">
        <v>2100.48</v>
      </c>
      <c r="N35" s="162">
        <f t="shared" si="2"/>
        <v>369.92000000000007</v>
      </c>
      <c r="O35" s="164" t="s">
        <v>223</v>
      </c>
      <c r="P35" s="162">
        <v>482</v>
      </c>
      <c r="Q35" s="132">
        <f t="shared" si="3"/>
        <v>1618.48</v>
      </c>
      <c r="R35" s="162">
        <v>2543.89</v>
      </c>
      <c r="S35" s="162">
        <v>2162.56</v>
      </c>
      <c r="T35" s="162">
        <v>1680.56</v>
      </c>
      <c r="U35" s="162">
        <v>2487.69</v>
      </c>
      <c r="V35" s="162">
        <v>2114.56</v>
      </c>
      <c r="W35" s="162">
        <v>1632.56</v>
      </c>
      <c r="X35" s="150">
        <v>64</v>
      </c>
      <c r="Y35" s="276">
        <v>0.06</v>
      </c>
      <c r="Z35" s="276">
        <v>2.7</v>
      </c>
      <c r="AA35" s="162">
        <v>1.57</v>
      </c>
      <c r="AB35" s="162">
        <v>68.28</v>
      </c>
      <c r="AC35" s="151">
        <v>0.34485103626943003</v>
      </c>
      <c r="AD35" s="2"/>
      <c r="AE35" s="4">
        <f>IF(PRICING[[#This Row],[SKU]]=I34,AE34+1,1)</f>
        <v>2</v>
      </c>
      <c r="AF35" s="150" t="b">
        <v>1</v>
      </c>
      <c r="AJ35" s="168">
        <v>11009501</v>
      </c>
    </row>
    <row r="36" spans="1:36" x14ac:dyDescent="0.2">
      <c r="A36" s="80" t="s">
        <v>210</v>
      </c>
      <c r="B36" s="80" t="s">
        <v>172</v>
      </c>
      <c r="C36" s="80" t="s">
        <v>166</v>
      </c>
      <c r="D36" s="80" t="s">
        <v>161</v>
      </c>
      <c r="E36" s="80" t="s">
        <v>174</v>
      </c>
      <c r="F36" s="80" t="s">
        <v>190</v>
      </c>
      <c r="G36" s="80"/>
      <c r="H36" s="80"/>
      <c r="I36" s="87">
        <v>11015391</v>
      </c>
      <c r="J36" t="s">
        <v>222</v>
      </c>
      <c r="K36" t="s">
        <v>178</v>
      </c>
      <c r="L36" s="162">
        <v>2470.4</v>
      </c>
      <c r="M36" s="162">
        <v>2100.48</v>
      </c>
      <c r="N36" s="162">
        <f t="shared" si="2"/>
        <v>369.92000000000007</v>
      </c>
      <c r="O36" s="164" t="s">
        <v>216</v>
      </c>
      <c r="P36" s="162">
        <v>650</v>
      </c>
      <c r="Q36" s="132">
        <f t="shared" si="3"/>
        <v>1450.48</v>
      </c>
      <c r="R36" s="162">
        <v>2543.89</v>
      </c>
      <c r="S36" s="162">
        <v>2162.56</v>
      </c>
      <c r="T36" s="162">
        <v>1512.56</v>
      </c>
      <c r="U36" s="162">
        <v>2487.69</v>
      </c>
      <c r="V36" s="162">
        <v>2114.56</v>
      </c>
      <c r="W36" s="162">
        <v>1464.56</v>
      </c>
      <c r="X36" s="150">
        <v>64</v>
      </c>
      <c r="Y36" s="276">
        <v>0.06</v>
      </c>
      <c r="Z36" s="276">
        <v>2.7</v>
      </c>
      <c r="AA36" s="162">
        <v>1.41</v>
      </c>
      <c r="AB36" s="162">
        <v>61.19</v>
      </c>
      <c r="AC36" s="151">
        <v>0.41285621761658031</v>
      </c>
      <c r="AD36" s="2"/>
      <c r="AE36" s="4">
        <f>IF(PRICING[[#This Row],[SKU]]=I35,AE35+1,1)</f>
        <v>3</v>
      </c>
      <c r="AF36" s="150" t="b">
        <v>1</v>
      </c>
      <c r="AJ36" s="168" t="s">
        <v>59</v>
      </c>
    </row>
    <row r="37" spans="1:36" hidden="1" x14ac:dyDescent="0.2">
      <c r="A37" s="80" t="s">
        <v>158</v>
      </c>
      <c r="B37" s="80" t="s">
        <v>159</v>
      </c>
      <c r="C37" s="80" t="s">
        <v>166</v>
      </c>
      <c r="D37" s="80" t="s">
        <v>161</v>
      </c>
      <c r="E37" s="80" t="s">
        <v>174</v>
      </c>
      <c r="F37" s="80" t="s">
        <v>163</v>
      </c>
      <c r="G37" s="92" t="s">
        <v>224</v>
      </c>
      <c r="H37" s="82"/>
      <c r="I37" s="87" t="s">
        <v>93</v>
      </c>
      <c r="J37" s="80" t="s">
        <v>225</v>
      </c>
      <c r="K37" t="s">
        <v>183</v>
      </c>
      <c r="L37" s="162">
        <v>239.09</v>
      </c>
      <c r="M37" s="162">
        <v>239.09</v>
      </c>
      <c r="N37" s="162">
        <f t="shared" si="2"/>
        <v>0</v>
      </c>
      <c r="O37" s="164">
        <v>0</v>
      </c>
      <c r="P37" s="162">
        <v>4</v>
      </c>
      <c r="Q37" s="132">
        <f t="shared" si="3"/>
        <v>235.09</v>
      </c>
      <c r="R37" s="162">
        <v>0</v>
      </c>
      <c r="S37" s="162">
        <v>0</v>
      </c>
      <c r="T37" s="162">
        <v>0</v>
      </c>
      <c r="U37" s="162">
        <v>0</v>
      </c>
      <c r="V37" s="162">
        <v>0</v>
      </c>
      <c r="W37" s="162">
        <v>0</v>
      </c>
      <c r="X37" s="150">
        <v>320</v>
      </c>
      <c r="Y37" s="276">
        <v>6.9</v>
      </c>
      <c r="Z37" s="276">
        <v>300.56</v>
      </c>
      <c r="AA37" s="162">
        <v>5.07</v>
      </c>
      <c r="AB37" s="162">
        <v>220.81</v>
      </c>
      <c r="AC37" s="151">
        <v>1.67E-2</v>
      </c>
      <c r="AD37" s="2"/>
      <c r="AE37" s="4">
        <f>IF(PRICING[[#This Row],[SKU]]=I36,AE36+1,1)</f>
        <v>1</v>
      </c>
      <c r="AF37" s="150" t="b">
        <v>0</v>
      </c>
      <c r="AJ37" s="168" t="s">
        <v>60</v>
      </c>
    </row>
    <row r="38" spans="1:36" hidden="1" x14ac:dyDescent="0.2">
      <c r="A38" s="80" t="s">
        <v>158</v>
      </c>
      <c r="B38" s="80" t="s">
        <v>159</v>
      </c>
      <c r="C38" s="80" t="s">
        <v>166</v>
      </c>
      <c r="D38" s="80" t="s">
        <v>161</v>
      </c>
      <c r="E38" s="80" t="s">
        <v>174</v>
      </c>
      <c r="F38" s="80" t="s">
        <v>163</v>
      </c>
      <c r="G38" s="85"/>
      <c r="H38" s="80"/>
      <c r="I38" s="87" t="s">
        <v>94</v>
      </c>
      <c r="J38" s="82" t="s">
        <v>226</v>
      </c>
      <c r="K38" t="s">
        <v>227</v>
      </c>
      <c r="L38" s="162">
        <v>54.35</v>
      </c>
      <c r="M38" s="162">
        <v>54.35</v>
      </c>
      <c r="N38" s="162">
        <f t="shared" si="2"/>
        <v>0</v>
      </c>
      <c r="O38" s="164">
        <v>0</v>
      </c>
      <c r="P38" s="162">
        <v>0</v>
      </c>
      <c r="Q38" s="132">
        <f t="shared" si="3"/>
        <v>54.35</v>
      </c>
      <c r="R38" s="162">
        <v>0</v>
      </c>
      <c r="S38" s="162">
        <v>0</v>
      </c>
      <c r="T38" s="162">
        <v>0</v>
      </c>
      <c r="U38" s="162">
        <v>0</v>
      </c>
      <c r="V38" s="162">
        <v>0</v>
      </c>
      <c r="W38" s="162">
        <v>0</v>
      </c>
      <c r="X38" s="150">
        <v>30</v>
      </c>
      <c r="Y38" s="276">
        <v>0</v>
      </c>
      <c r="Z38" s="276">
        <v>0</v>
      </c>
      <c r="AA38" s="162">
        <v>0</v>
      </c>
      <c r="AB38" s="162">
        <v>0</v>
      </c>
      <c r="AC38" s="151">
        <v>0</v>
      </c>
      <c r="AD38" s="2"/>
      <c r="AE38" s="4">
        <f>IF(PRICING[[#This Row],[SKU]]=I37,AE37+1,1)</f>
        <v>1</v>
      </c>
      <c r="AF38" s="150" t="b">
        <v>0</v>
      </c>
      <c r="AJ38" s="168">
        <v>81701245</v>
      </c>
    </row>
    <row r="39" spans="1:36" hidden="1" x14ac:dyDescent="0.2">
      <c r="A39" s="80" t="s">
        <v>210</v>
      </c>
      <c r="B39" s="80" t="s">
        <v>172</v>
      </c>
      <c r="C39" s="80" t="s">
        <v>166</v>
      </c>
      <c r="D39" s="80" t="s">
        <v>161</v>
      </c>
      <c r="E39" s="80" t="s">
        <v>168</v>
      </c>
      <c r="F39" s="82" t="s">
        <v>163</v>
      </c>
      <c r="G39" s="83"/>
      <c r="H39" s="82"/>
      <c r="I39" s="87">
        <v>11008464</v>
      </c>
      <c r="J39" s="80" t="s">
        <v>228</v>
      </c>
      <c r="K39" t="s">
        <v>170</v>
      </c>
      <c r="L39" s="162">
        <v>464.64</v>
      </c>
      <c r="M39" s="162">
        <v>464.64</v>
      </c>
      <c r="N39" s="162">
        <f t="shared" si="2"/>
        <v>0</v>
      </c>
      <c r="O39" s="164" t="s">
        <v>229</v>
      </c>
      <c r="P39" s="162">
        <v>0</v>
      </c>
      <c r="Q39" s="132">
        <f t="shared" si="3"/>
        <v>464.64</v>
      </c>
      <c r="R39" s="162">
        <v>0</v>
      </c>
      <c r="S39" s="162">
        <v>0</v>
      </c>
      <c r="T39" s="162">
        <v>0</v>
      </c>
      <c r="U39" s="162">
        <v>467.89</v>
      </c>
      <c r="V39" s="162">
        <v>467.89</v>
      </c>
      <c r="W39" s="162">
        <v>467.89</v>
      </c>
      <c r="X39" s="150">
        <v>128</v>
      </c>
      <c r="Y39" s="276">
        <v>0.55000000000000004</v>
      </c>
      <c r="Z39" s="276">
        <v>24</v>
      </c>
      <c r="AA39" s="162">
        <v>2</v>
      </c>
      <c r="AB39" s="162">
        <v>87.12</v>
      </c>
      <c r="AC39" s="151">
        <v>0</v>
      </c>
      <c r="AD39" s="2"/>
      <c r="AE39" s="4">
        <f>IF(PRICING[[#This Row],[SKU]]=I38,AE38+1,1)</f>
        <v>1</v>
      </c>
      <c r="AF39" s="150" t="b">
        <v>0</v>
      </c>
      <c r="AJ39" s="168">
        <v>11013671</v>
      </c>
    </row>
    <row r="40" spans="1:36" hidden="1" x14ac:dyDescent="0.2">
      <c r="A40" s="80" t="s">
        <v>210</v>
      </c>
      <c r="B40" s="80" t="s">
        <v>172</v>
      </c>
      <c r="C40" s="80" t="s">
        <v>166</v>
      </c>
      <c r="D40" s="80" t="s">
        <v>161</v>
      </c>
      <c r="E40" s="80" t="s">
        <v>168</v>
      </c>
      <c r="F40" s="80" t="s">
        <v>163</v>
      </c>
      <c r="G40" s="83"/>
      <c r="H40" s="82"/>
      <c r="I40" s="87">
        <v>11008464</v>
      </c>
      <c r="J40" s="80" t="s">
        <v>228</v>
      </c>
      <c r="K40" t="s">
        <v>170</v>
      </c>
      <c r="L40" s="162">
        <v>464.64</v>
      </c>
      <c r="M40" s="162">
        <v>464.64</v>
      </c>
      <c r="N40" s="162">
        <f t="shared" si="2"/>
        <v>0</v>
      </c>
      <c r="O40" s="164" t="s">
        <v>230</v>
      </c>
      <c r="P40" s="162">
        <v>47</v>
      </c>
      <c r="Q40" s="132">
        <f t="shared" si="3"/>
        <v>417.64</v>
      </c>
      <c r="R40" s="162">
        <v>0</v>
      </c>
      <c r="S40" s="162">
        <v>0</v>
      </c>
      <c r="T40" s="162">
        <v>0</v>
      </c>
      <c r="U40" s="162">
        <v>467.89</v>
      </c>
      <c r="V40" s="162">
        <v>467.89</v>
      </c>
      <c r="W40" s="162">
        <v>420.89</v>
      </c>
      <c r="X40" s="150">
        <v>128</v>
      </c>
      <c r="Y40" s="276">
        <v>0.55000000000000004</v>
      </c>
      <c r="Z40" s="276">
        <v>24</v>
      </c>
      <c r="AA40" s="162">
        <v>1.8</v>
      </c>
      <c r="AB40" s="162">
        <v>78.31</v>
      </c>
      <c r="AC40" s="151">
        <v>0.1012</v>
      </c>
      <c r="AD40" s="2"/>
      <c r="AE40" s="4">
        <f>IF(PRICING[[#This Row],[SKU]]=I39,AE39+1,1)</f>
        <v>2</v>
      </c>
      <c r="AF40" s="150" t="b">
        <v>0</v>
      </c>
      <c r="AJ40" s="168" t="s">
        <v>61</v>
      </c>
    </row>
    <row r="41" spans="1:36" hidden="1" x14ac:dyDescent="0.2">
      <c r="A41" s="80" t="s">
        <v>158</v>
      </c>
      <c r="B41" s="80" t="s">
        <v>172</v>
      </c>
      <c r="C41" s="80" t="s">
        <v>160</v>
      </c>
      <c r="D41" s="80" t="s">
        <v>161</v>
      </c>
      <c r="E41" s="80" t="s">
        <v>162</v>
      </c>
      <c r="F41" s="80" t="s">
        <v>163</v>
      </c>
      <c r="G41" s="91">
        <v>85771248</v>
      </c>
      <c r="H41" s="92" t="s">
        <v>58</v>
      </c>
      <c r="I41" s="82" t="s">
        <v>58</v>
      </c>
      <c r="J41" s="82" t="s">
        <v>231</v>
      </c>
      <c r="K41" t="s">
        <v>232</v>
      </c>
      <c r="L41" s="162">
        <v>387.2</v>
      </c>
      <c r="M41" s="162">
        <v>387.2</v>
      </c>
      <c r="N41" s="162">
        <f t="shared" si="2"/>
        <v>0</v>
      </c>
      <c r="O41" s="164" t="s">
        <v>233</v>
      </c>
      <c r="P41" s="162">
        <v>0</v>
      </c>
      <c r="Q41" s="134">
        <f t="shared" si="3"/>
        <v>387.2</v>
      </c>
      <c r="R41" s="162">
        <v>398.72</v>
      </c>
      <c r="S41" s="162">
        <v>398.72</v>
      </c>
      <c r="T41" s="162">
        <v>398.72</v>
      </c>
      <c r="U41" s="162">
        <v>389.91</v>
      </c>
      <c r="V41" s="162">
        <v>389.91</v>
      </c>
      <c r="W41" s="162">
        <v>389.91</v>
      </c>
      <c r="X41" s="150">
        <v>320</v>
      </c>
      <c r="Y41" s="276">
        <v>4</v>
      </c>
      <c r="Z41" s="276">
        <v>174.24</v>
      </c>
      <c r="AA41" s="162">
        <v>4.84</v>
      </c>
      <c r="AB41" s="162">
        <v>210.83</v>
      </c>
      <c r="AC41" s="151">
        <v>0</v>
      </c>
      <c r="AD41" s="81"/>
      <c r="AE41" s="4">
        <f>IF(PRICING[[#This Row],[SKU]]=I40,AE40+1,1)</f>
        <v>1</v>
      </c>
      <c r="AF41" s="150" t="b">
        <v>0</v>
      </c>
      <c r="AJ41" s="168" t="s">
        <v>62</v>
      </c>
    </row>
    <row r="42" spans="1:36" hidden="1" x14ac:dyDescent="0.2">
      <c r="A42" s="80" t="s">
        <v>158</v>
      </c>
      <c r="B42" s="80" t="s">
        <v>172</v>
      </c>
      <c r="C42" s="80" t="s">
        <v>160</v>
      </c>
      <c r="D42" s="80" t="s">
        <v>161</v>
      </c>
      <c r="E42" s="80" t="s">
        <v>162</v>
      </c>
      <c r="F42" s="80" t="s">
        <v>163</v>
      </c>
      <c r="G42" s="91">
        <v>85771248</v>
      </c>
      <c r="H42" s="92" t="s">
        <v>58</v>
      </c>
      <c r="I42" s="82" t="s">
        <v>58</v>
      </c>
      <c r="J42" s="82" t="s">
        <v>231</v>
      </c>
      <c r="K42" t="s">
        <v>232</v>
      </c>
      <c r="L42" s="162">
        <v>387.2</v>
      </c>
      <c r="M42" s="162">
        <v>387.2</v>
      </c>
      <c r="N42" s="162">
        <f t="shared" si="2"/>
        <v>0</v>
      </c>
      <c r="O42" s="164" t="s">
        <v>234</v>
      </c>
      <c r="P42" s="162">
        <v>40</v>
      </c>
      <c r="Q42" s="132">
        <f t="shared" si="3"/>
        <v>347.2</v>
      </c>
      <c r="R42" s="162">
        <v>398.72</v>
      </c>
      <c r="S42" s="162">
        <v>398.72</v>
      </c>
      <c r="T42" s="162">
        <v>358.72</v>
      </c>
      <c r="U42" s="162">
        <v>389.91</v>
      </c>
      <c r="V42" s="162">
        <v>389.91</v>
      </c>
      <c r="W42" s="162">
        <v>349.91</v>
      </c>
      <c r="X42" s="150">
        <v>320</v>
      </c>
      <c r="Y42" s="276">
        <v>4</v>
      </c>
      <c r="Z42" s="276">
        <v>174.24</v>
      </c>
      <c r="AA42" s="162">
        <v>4.34</v>
      </c>
      <c r="AB42" s="162">
        <v>189.05</v>
      </c>
      <c r="AC42" s="151">
        <v>0.1033</v>
      </c>
      <c r="AD42" s="2"/>
      <c r="AE42" s="4">
        <f>IF(PRICING[[#This Row],[SKU]]=I41,AE41+1,1)</f>
        <v>2</v>
      </c>
      <c r="AF42" s="150" t="b">
        <v>0</v>
      </c>
      <c r="AJ42" s="168" t="s">
        <v>63</v>
      </c>
    </row>
    <row r="43" spans="1:36" hidden="1" x14ac:dyDescent="0.2">
      <c r="A43" s="80" t="s">
        <v>210</v>
      </c>
      <c r="B43" s="80" t="s">
        <v>172</v>
      </c>
      <c r="C43" s="80" t="s">
        <v>160</v>
      </c>
      <c r="D43" s="80" t="s">
        <v>161</v>
      </c>
      <c r="E43" s="80" t="s">
        <v>162</v>
      </c>
      <c r="F43" s="82" t="s">
        <v>163</v>
      </c>
      <c r="G43" s="92"/>
      <c r="H43" s="80"/>
      <c r="I43" s="87">
        <v>11008377</v>
      </c>
      <c r="J43" s="82" t="s">
        <v>235</v>
      </c>
      <c r="K43" t="s">
        <v>165</v>
      </c>
      <c r="L43" s="162">
        <v>630.4</v>
      </c>
      <c r="M43" s="162">
        <v>630.4</v>
      </c>
      <c r="N43" s="162">
        <f t="shared" si="2"/>
        <v>0</v>
      </c>
      <c r="O43" s="164">
        <v>0</v>
      </c>
      <c r="P43" s="162">
        <v>0</v>
      </c>
      <c r="Q43" s="134">
        <f t="shared" si="3"/>
        <v>630.4</v>
      </c>
      <c r="R43" s="162">
        <v>649.15</v>
      </c>
      <c r="S43" s="162">
        <v>649.15</v>
      </c>
      <c r="T43" s="162">
        <v>649.15</v>
      </c>
      <c r="U43" s="162">
        <v>634.80999999999995</v>
      </c>
      <c r="V43" s="162">
        <v>634.80999999999995</v>
      </c>
      <c r="W43" s="162">
        <v>634.80999999999995</v>
      </c>
      <c r="X43" s="150">
        <v>320</v>
      </c>
      <c r="Y43" s="276">
        <v>4</v>
      </c>
      <c r="Z43" s="276">
        <v>174.24</v>
      </c>
      <c r="AA43" s="162">
        <v>7.88</v>
      </c>
      <c r="AB43" s="162">
        <v>343.25</v>
      </c>
      <c r="AC43" s="151">
        <v>0</v>
      </c>
      <c r="AD43" s="81"/>
      <c r="AE43" s="4">
        <f>IF(PRICING[[#This Row],[SKU]]=I42,AE42+1,1)</f>
        <v>1</v>
      </c>
      <c r="AF43" s="150" t="b">
        <v>0</v>
      </c>
      <c r="AJ43" s="168" t="s">
        <v>64</v>
      </c>
    </row>
    <row r="44" spans="1:36" hidden="1" x14ac:dyDescent="0.2">
      <c r="A44" s="80" t="s">
        <v>210</v>
      </c>
      <c r="B44" s="80" t="s">
        <v>172</v>
      </c>
      <c r="C44" s="80" t="s">
        <v>160</v>
      </c>
      <c r="D44" s="80" t="s">
        <v>161</v>
      </c>
      <c r="E44" s="80" t="s">
        <v>162</v>
      </c>
      <c r="F44" s="82" t="s">
        <v>163</v>
      </c>
      <c r="G44" s="83"/>
      <c r="H44" s="82"/>
      <c r="I44" s="87">
        <v>11008393</v>
      </c>
      <c r="J44" s="80" t="s">
        <v>236</v>
      </c>
      <c r="K44" t="s">
        <v>171</v>
      </c>
      <c r="L44" s="162">
        <v>456.48</v>
      </c>
      <c r="M44" s="162">
        <v>456.48</v>
      </c>
      <c r="N44" s="162">
        <f t="shared" si="2"/>
        <v>0</v>
      </c>
      <c r="O44" s="164" t="s">
        <v>215</v>
      </c>
      <c r="P44" s="162">
        <v>0</v>
      </c>
      <c r="Q44" s="132">
        <f t="shared" si="3"/>
        <v>456.48</v>
      </c>
      <c r="R44" s="162">
        <v>470.06</v>
      </c>
      <c r="S44" s="162">
        <v>470.06</v>
      </c>
      <c r="T44" s="162">
        <v>470.06</v>
      </c>
      <c r="U44" s="162">
        <v>459.68</v>
      </c>
      <c r="V44" s="162">
        <v>459.68</v>
      </c>
      <c r="W44" s="162">
        <v>459.68</v>
      </c>
      <c r="X44" s="150">
        <v>16</v>
      </c>
      <c r="Y44" s="276">
        <v>0.36</v>
      </c>
      <c r="Z44" s="276">
        <v>15.68</v>
      </c>
      <c r="AA44" s="162">
        <v>10.27</v>
      </c>
      <c r="AB44" s="162">
        <v>447.4</v>
      </c>
      <c r="AC44" s="151">
        <v>0</v>
      </c>
      <c r="AD44" s="2"/>
      <c r="AE44" s="4">
        <f>IF(PRICING[[#This Row],[SKU]]=I43,AE43+1,1)</f>
        <v>1</v>
      </c>
      <c r="AF44" s="150" t="b">
        <v>0</v>
      </c>
      <c r="AJ44" s="168" t="s">
        <v>96</v>
      </c>
    </row>
    <row r="45" spans="1:36" hidden="1" x14ac:dyDescent="0.2">
      <c r="A45" s="80" t="s">
        <v>210</v>
      </c>
      <c r="B45" s="80" t="s">
        <v>172</v>
      </c>
      <c r="C45" s="80" t="s">
        <v>160</v>
      </c>
      <c r="D45" s="80" t="s">
        <v>161</v>
      </c>
      <c r="E45" s="80" t="s">
        <v>162</v>
      </c>
      <c r="F45" s="82" t="s">
        <v>163</v>
      </c>
      <c r="G45" s="89"/>
      <c r="H45" s="88"/>
      <c r="I45" s="87">
        <v>11008393</v>
      </c>
      <c r="J45" s="80" t="s">
        <v>236</v>
      </c>
      <c r="K45" t="s">
        <v>171</v>
      </c>
      <c r="L45" s="162">
        <v>456.48</v>
      </c>
      <c r="M45" s="162">
        <v>456.48</v>
      </c>
      <c r="N45" s="162">
        <f t="shared" si="2"/>
        <v>0</v>
      </c>
      <c r="O45" s="164" t="s">
        <v>216</v>
      </c>
      <c r="P45" s="162">
        <v>70</v>
      </c>
      <c r="Q45" s="132">
        <f t="shared" si="3"/>
        <v>386.48</v>
      </c>
      <c r="R45" s="162">
        <v>470.06</v>
      </c>
      <c r="S45" s="162">
        <v>470.06</v>
      </c>
      <c r="T45" s="162">
        <v>400.06</v>
      </c>
      <c r="U45" s="162">
        <v>459.68</v>
      </c>
      <c r="V45" s="162">
        <v>459.68</v>
      </c>
      <c r="W45" s="162">
        <v>389.68</v>
      </c>
      <c r="X45" s="150">
        <v>16</v>
      </c>
      <c r="Y45" s="276">
        <v>0.36</v>
      </c>
      <c r="Z45" s="276">
        <v>15.68</v>
      </c>
      <c r="AA45" s="162">
        <v>8.6999999999999993</v>
      </c>
      <c r="AB45" s="162">
        <v>378.79</v>
      </c>
      <c r="AC45" s="151">
        <v>0.15329999999999999</v>
      </c>
      <c r="AD45" s="2"/>
      <c r="AE45" s="4">
        <f>IF(PRICING[[#This Row],[SKU]]=I44,AE44+1,1)</f>
        <v>2</v>
      </c>
      <c r="AF45" s="150" t="b">
        <v>0</v>
      </c>
      <c r="AJ45" s="168" t="s">
        <v>95</v>
      </c>
    </row>
    <row r="46" spans="1:36" hidden="1" x14ac:dyDescent="0.2">
      <c r="A46" s="80" t="s">
        <v>210</v>
      </c>
      <c r="B46" s="80" t="s">
        <v>172</v>
      </c>
      <c r="C46" s="80" t="s">
        <v>166</v>
      </c>
      <c r="D46" s="80" t="s">
        <v>161</v>
      </c>
      <c r="E46" s="80" t="s">
        <v>162</v>
      </c>
      <c r="F46" s="82" t="s">
        <v>163</v>
      </c>
      <c r="G46" s="83"/>
      <c r="H46" s="82"/>
      <c r="I46" s="87">
        <v>11008557</v>
      </c>
      <c r="J46" s="80" t="s">
        <v>236</v>
      </c>
      <c r="K46" t="s">
        <v>178</v>
      </c>
      <c r="L46" s="162">
        <v>1652.48</v>
      </c>
      <c r="M46" s="162">
        <v>1652.48</v>
      </c>
      <c r="N46" s="162">
        <f t="shared" si="2"/>
        <v>0</v>
      </c>
      <c r="O46" s="164" t="s">
        <v>215</v>
      </c>
      <c r="P46" s="162">
        <v>0</v>
      </c>
      <c r="Q46" s="132">
        <f t="shared" si="3"/>
        <v>1652.48</v>
      </c>
      <c r="R46" s="162">
        <v>1701.64</v>
      </c>
      <c r="S46" s="162">
        <v>1701.64</v>
      </c>
      <c r="T46" s="162">
        <v>1701.64</v>
      </c>
      <c r="U46" s="162">
        <v>1664.05</v>
      </c>
      <c r="V46" s="162">
        <v>1664.05</v>
      </c>
      <c r="W46" s="162">
        <v>1664.05</v>
      </c>
      <c r="X46" s="150">
        <v>64</v>
      </c>
      <c r="Y46" s="276">
        <v>0.36</v>
      </c>
      <c r="Z46" s="276">
        <v>15.68</v>
      </c>
      <c r="AA46" s="162">
        <v>9.3000000000000007</v>
      </c>
      <c r="AB46" s="162">
        <v>404.9</v>
      </c>
      <c r="AC46" s="151">
        <v>0</v>
      </c>
      <c r="AD46" s="2"/>
      <c r="AE46" s="4">
        <f>IF(PRICING[[#This Row],[SKU]]=I45,AE45+1,1)</f>
        <v>1</v>
      </c>
      <c r="AF46" s="150" t="b">
        <v>1</v>
      </c>
      <c r="AJ46" s="168" t="s">
        <v>65</v>
      </c>
    </row>
    <row r="47" spans="1:36" hidden="1" x14ac:dyDescent="0.2">
      <c r="A47" s="80" t="s">
        <v>210</v>
      </c>
      <c r="B47" s="80" t="s">
        <v>172</v>
      </c>
      <c r="C47" s="80" t="s">
        <v>166</v>
      </c>
      <c r="D47" s="80" t="s">
        <v>161</v>
      </c>
      <c r="E47" s="80" t="s">
        <v>162</v>
      </c>
      <c r="F47" s="82" t="s">
        <v>163</v>
      </c>
      <c r="G47" s="83"/>
      <c r="H47" s="82"/>
      <c r="I47" s="87">
        <v>11008557</v>
      </c>
      <c r="J47" s="80" t="s">
        <v>236</v>
      </c>
      <c r="K47" t="s">
        <v>178</v>
      </c>
      <c r="L47" s="162">
        <v>1652.48</v>
      </c>
      <c r="M47" s="162">
        <v>1652.48</v>
      </c>
      <c r="N47" s="162">
        <f t="shared" si="2"/>
        <v>0</v>
      </c>
      <c r="O47" s="164" t="s">
        <v>216</v>
      </c>
      <c r="P47" s="162">
        <v>395</v>
      </c>
      <c r="Q47" s="132">
        <f t="shared" si="3"/>
        <v>1257.48</v>
      </c>
      <c r="R47" s="162">
        <v>1701.64</v>
      </c>
      <c r="S47" s="162">
        <v>1701.64</v>
      </c>
      <c r="T47" s="162">
        <v>1306.6400000000001</v>
      </c>
      <c r="U47" s="162">
        <v>1664.05</v>
      </c>
      <c r="V47" s="162">
        <v>1664.05</v>
      </c>
      <c r="W47" s="162">
        <v>1269.05</v>
      </c>
      <c r="X47" s="150">
        <v>64</v>
      </c>
      <c r="Y47" s="276">
        <v>0.36</v>
      </c>
      <c r="Z47" s="276">
        <v>15.68</v>
      </c>
      <c r="AA47" s="162">
        <v>7.07</v>
      </c>
      <c r="AB47" s="162">
        <v>308.11</v>
      </c>
      <c r="AC47" s="151">
        <v>0.23899999999999999</v>
      </c>
      <c r="AD47" s="2"/>
      <c r="AE47" s="4">
        <f>IF(PRICING[[#This Row],[SKU]]=I46,AE46+1,1)</f>
        <v>2</v>
      </c>
      <c r="AF47" s="150" t="b">
        <v>1</v>
      </c>
      <c r="AJ47" s="168">
        <v>86215578</v>
      </c>
    </row>
    <row r="48" spans="1:36" hidden="1" x14ac:dyDescent="0.2">
      <c r="A48" s="80" t="s">
        <v>210</v>
      </c>
      <c r="B48" s="80" t="s">
        <v>172</v>
      </c>
      <c r="C48" s="80" t="s">
        <v>166</v>
      </c>
      <c r="D48" s="80" t="s">
        <v>161</v>
      </c>
      <c r="E48" s="80" t="s">
        <v>162</v>
      </c>
      <c r="F48" s="82" t="s">
        <v>163</v>
      </c>
      <c r="G48" s="83"/>
      <c r="H48" s="82"/>
      <c r="I48" s="87">
        <v>11009500</v>
      </c>
      <c r="J48" s="80" t="s">
        <v>236</v>
      </c>
      <c r="K48" t="s">
        <v>165</v>
      </c>
      <c r="L48" s="162">
        <v>7462.4</v>
      </c>
      <c r="M48" s="162">
        <v>7462.4</v>
      </c>
      <c r="N48" s="162">
        <f t="shared" si="2"/>
        <v>0</v>
      </c>
      <c r="O48" s="164" t="s">
        <v>215</v>
      </c>
      <c r="P48" s="162">
        <v>1290</v>
      </c>
      <c r="Q48" s="132">
        <f t="shared" si="3"/>
        <v>6172.4</v>
      </c>
      <c r="R48" s="162">
        <v>7684.41</v>
      </c>
      <c r="S48" s="162">
        <v>7684.41</v>
      </c>
      <c r="T48" s="162">
        <v>6394.41</v>
      </c>
      <c r="U48" s="162">
        <v>7514.64</v>
      </c>
      <c r="V48" s="162">
        <v>7514.64</v>
      </c>
      <c r="W48" s="162">
        <v>6224.64</v>
      </c>
      <c r="X48" s="150">
        <v>320</v>
      </c>
      <c r="Y48" s="276">
        <v>0.36</v>
      </c>
      <c r="Z48" s="276">
        <v>15.68</v>
      </c>
      <c r="AA48" s="162">
        <v>6.94</v>
      </c>
      <c r="AB48" s="162">
        <v>302.48</v>
      </c>
      <c r="AC48" s="151">
        <v>0.1729</v>
      </c>
      <c r="AD48" s="2"/>
      <c r="AE48" s="4">
        <f>IF(PRICING[[#This Row],[SKU]]=I47,AE47+1,1)</f>
        <v>1</v>
      </c>
      <c r="AF48" s="150" t="b">
        <v>1</v>
      </c>
      <c r="AJ48" s="168" t="s">
        <v>97</v>
      </c>
    </row>
    <row r="49" spans="1:36" hidden="1" x14ac:dyDescent="0.2">
      <c r="A49" s="80" t="s">
        <v>210</v>
      </c>
      <c r="B49" s="80" t="s">
        <v>172</v>
      </c>
      <c r="C49" s="80" t="s">
        <v>166</v>
      </c>
      <c r="D49" s="80" t="s">
        <v>161</v>
      </c>
      <c r="E49" s="80" t="s">
        <v>162</v>
      </c>
      <c r="F49" s="82" t="s">
        <v>163</v>
      </c>
      <c r="G49" s="83"/>
      <c r="H49" s="82"/>
      <c r="I49" s="87">
        <v>11009500</v>
      </c>
      <c r="J49" s="80" t="s">
        <v>236</v>
      </c>
      <c r="K49" t="s">
        <v>165</v>
      </c>
      <c r="L49" s="162">
        <v>7462.4</v>
      </c>
      <c r="M49" s="162">
        <v>7462.4</v>
      </c>
      <c r="N49" s="162">
        <f t="shared" si="2"/>
        <v>0</v>
      </c>
      <c r="O49" s="164" t="s">
        <v>216</v>
      </c>
      <c r="P49" s="162">
        <v>1390</v>
      </c>
      <c r="Q49" s="132">
        <f t="shared" si="3"/>
        <v>6072.4</v>
      </c>
      <c r="R49" s="162">
        <v>7684.41</v>
      </c>
      <c r="S49" s="162">
        <v>7684.41</v>
      </c>
      <c r="T49" s="162">
        <v>6294.41</v>
      </c>
      <c r="U49" s="162">
        <v>7514.64</v>
      </c>
      <c r="V49" s="162">
        <v>7514.64</v>
      </c>
      <c r="W49" s="162">
        <v>6124.64</v>
      </c>
      <c r="X49" s="150">
        <v>320</v>
      </c>
      <c r="Y49" s="276">
        <v>0.36</v>
      </c>
      <c r="Z49" s="276">
        <v>15.68</v>
      </c>
      <c r="AA49" s="162">
        <v>6.83</v>
      </c>
      <c r="AB49" s="162">
        <v>297.58</v>
      </c>
      <c r="AC49" s="151">
        <v>0.18629999999999999</v>
      </c>
      <c r="AD49" s="2"/>
      <c r="AE49" s="4">
        <f>IF(PRICING[[#This Row],[SKU]]=I48,AE48+1,1)</f>
        <v>2</v>
      </c>
      <c r="AF49" s="150" t="b">
        <v>1</v>
      </c>
      <c r="AJ49" s="168">
        <v>11008447</v>
      </c>
    </row>
    <row r="50" spans="1:36" hidden="1" x14ac:dyDescent="0.2">
      <c r="A50" s="80" t="s">
        <v>158</v>
      </c>
      <c r="B50" s="80" t="s">
        <v>172</v>
      </c>
      <c r="C50" s="80" t="s">
        <v>160</v>
      </c>
      <c r="D50" s="80" t="s">
        <v>161</v>
      </c>
      <c r="E50" s="80" t="s">
        <v>162</v>
      </c>
      <c r="F50" s="80" t="s">
        <v>163</v>
      </c>
      <c r="G50" s="85" t="s">
        <v>237</v>
      </c>
      <c r="H50" s="80"/>
      <c r="I50" s="87" t="s">
        <v>59</v>
      </c>
      <c r="J50" s="82" t="s">
        <v>238</v>
      </c>
      <c r="K50" t="s">
        <v>232</v>
      </c>
      <c r="L50" s="162">
        <v>201.6</v>
      </c>
      <c r="M50" s="162">
        <v>201.6</v>
      </c>
      <c r="N50" s="162">
        <f t="shared" si="2"/>
        <v>0</v>
      </c>
      <c r="O50" s="164" t="s">
        <v>179</v>
      </c>
      <c r="P50" s="162">
        <v>0</v>
      </c>
      <c r="Q50" s="132">
        <f t="shared" si="3"/>
        <v>201.6</v>
      </c>
      <c r="R50" s="162">
        <v>207.6</v>
      </c>
      <c r="S50" s="162">
        <v>207.6</v>
      </c>
      <c r="T50" s="162">
        <v>207.6</v>
      </c>
      <c r="U50" s="162">
        <v>203.01</v>
      </c>
      <c r="V50" s="162">
        <v>203.01</v>
      </c>
      <c r="W50" s="162">
        <v>203.01</v>
      </c>
      <c r="X50" s="150">
        <v>320</v>
      </c>
      <c r="Y50" s="276">
        <v>3</v>
      </c>
      <c r="Z50" s="276">
        <v>130.68</v>
      </c>
      <c r="AA50" s="162">
        <v>1.89</v>
      </c>
      <c r="AB50" s="162">
        <v>82.33</v>
      </c>
      <c r="AC50" s="151">
        <v>0</v>
      </c>
      <c r="AD50" s="2"/>
      <c r="AE50" s="4">
        <f>IF(PRICING[[#This Row],[SKU]]=I49,AE49+1,1)</f>
        <v>1</v>
      </c>
      <c r="AF50" s="150" t="b">
        <v>0</v>
      </c>
      <c r="AJ50" s="168">
        <v>11003880</v>
      </c>
    </row>
    <row r="51" spans="1:36" hidden="1" x14ac:dyDescent="0.2">
      <c r="A51" s="80" t="s">
        <v>158</v>
      </c>
      <c r="B51" s="80" t="s">
        <v>172</v>
      </c>
      <c r="C51" s="80" t="s">
        <v>160</v>
      </c>
      <c r="D51" s="80" t="s">
        <v>161</v>
      </c>
      <c r="E51" s="80" t="s">
        <v>162</v>
      </c>
      <c r="F51" s="80" t="s">
        <v>163</v>
      </c>
      <c r="G51" s="85" t="s">
        <v>237</v>
      </c>
      <c r="H51" s="80"/>
      <c r="I51" s="87" t="s">
        <v>59</v>
      </c>
      <c r="J51" s="82" t="s">
        <v>238</v>
      </c>
      <c r="K51" t="s">
        <v>232</v>
      </c>
      <c r="L51" s="162">
        <v>201.6</v>
      </c>
      <c r="M51" s="162">
        <v>201.6</v>
      </c>
      <c r="N51" s="162">
        <f t="shared" si="2"/>
        <v>0</v>
      </c>
      <c r="O51" s="164" t="s">
        <v>193</v>
      </c>
      <c r="P51" s="162">
        <v>10</v>
      </c>
      <c r="Q51" s="132">
        <f t="shared" si="3"/>
        <v>191.6</v>
      </c>
      <c r="R51" s="162">
        <v>207.6</v>
      </c>
      <c r="S51" s="162">
        <v>207.6</v>
      </c>
      <c r="T51" s="162">
        <v>197.6</v>
      </c>
      <c r="U51" s="162">
        <v>203.01</v>
      </c>
      <c r="V51" s="162">
        <v>203.01</v>
      </c>
      <c r="W51" s="162">
        <v>193.01</v>
      </c>
      <c r="X51" s="150">
        <v>320</v>
      </c>
      <c r="Y51" s="276">
        <v>3</v>
      </c>
      <c r="Z51" s="276">
        <v>130.68</v>
      </c>
      <c r="AA51" s="162">
        <v>1.8</v>
      </c>
      <c r="AB51" s="162">
        <v>78.239999999999995</v>
      </c>
      <c r="AC51" s="151">
        <v>4.9599999999999998E-2</v>
      </c>
      <c r="AD51" s="2"/>
      <c r="AE51" s="4">
        <f>IF(PRICING[[#This Row],[SKU]]=I50,AE50+1,1)</f>
        <v>2</v>
      </c>
      <c r="AF51" s="150" t="b">
        <v>0</v>
      </c>
      <c r="AJ51" s="168" t="s">
        <v>66</v>
      </c>
    </row>
    <row r="52" spans="1:36" hidden="1" x14ac:dyDescent="0.2">
      <c r="A52" s="80" t="s">
        <v>158</v>
      </c>
      <c r="B52" s="80" t="s">
        <v>172</v>
      </c>
      <c r="C52" s="80" t="s">
        <v>160</v>
      </c>
      <c r="D52" s="80" t="s">
        <v>161</v>
      </c>
      <c r="E52" s="80" t="s">
        <v>162</v>
      </c>
      <c r="F52" s="82" t="s">
        <v>190</v>
      </c>
      <c r="G52" s="90" t="s">
        <v>239</v>
      </c>
      <c r="H52" s="92" t="s">
        <v>240</v>
      </c>
      <c r="I52" s="87" t="s">
        <v>60</v>
      </c>
      <c r="J52" s="80" t="s">
        <v>241</v>
      </c>
      <c r="K52" t="s">
        <v>242</v>
      </c>
      <c r="L52" s="162">
        <v>1250.43</v>
      </c>
      <c r="M52" s="162">
        <v>1250.43</v>
      </c>
      <c r="N52" s="162">
        <f t="shared" si="2"/>
        <v>0</v>
      </c>
      <c r="O52" s="164" t="s">
        <v>208</v>
      </c>
      <c r="P52" s="162">
        <v>0</v>
      </c>
      <c r="Q52" s="132">
        <f t="shared" si="3"/>
        <v>1250.43</v>
      </c>
      <c r="R52" s="162">
        <v>1287.6300000000001</v>
      </c>
      <c r="S52" s="162">
        <v>1287.6300000000001</v>
      </c>
      <c r="T52" s="162">
        <v>1287.6300000000001</v>
      </c>
      <c r="U52" s="162">
        <v>1259.18</v>
      </c>
      <c r="V52" s="162">
        <v>1259.18</v>
      </c>
      <c r="W52" s="162">
        <v>1259.18</v>
      </c>
      <c r="X52" s="150">
        <v>17.100000000000001</v>
      </c>
      <c r="Y52" s="276">
        <v>0.39</v>
      </c>
      <c r="Z52" s="276">
        <v>16.989999999999998</v>
      </c>
      <c r="AA52" s="162">
        <v>28.52</v>
      </c>
      <c r="AB52" s="162">
        <v>1242.27</v>
      </c>
      <c r="AC52" s="151">
        <v>0</v>
      </c>
      <c r="AD52" s="2"/>
      <c r="AE52" s="4">
        <f>IF(PRICING[[#This Row],[SKU]]=I51,AE51+1,1)</f>
        <v>1</v>
      </c>
      <c r="AF52" s="150" t="b">
        <v>1</v>
      </c>
      <c r="AJ52" s="168">
        <v>79850980</v>
      </c>
    </row>
    <row r="53" spans="1:36" hidden="1" x14ac:dyDescent="0.2">
      <c r="A53" s="80" t="s">
        <v>158</v>
      </c>
      <c r="B53" s="80" t="s">
        <v>172</v>
      </c>
      <c r="C53" s="80" t="s">
        <v>160</v>
      </c>
      <c r="D53" s="80" t="s">
        <v>161</v>
      </c>
      <c r="E53" s="80" t="s">
        <v>162</v>
      </c>
      <c r="F53" s="82" t="s">
        <v>190</v>
      </c>
      <c r="G53" s="90" t="s">
        <v>239</v>
      </c>
      <c r="H53" s="92" t="s">
        <v>240</v>
      </c>
      <c r="I53" s="87" t="s">
        <v>60</v>
      </c>
      <c r="J53" s="80" t="s">
        <v>241</v>
      </c>
      <c r="K53" t="s">
        <v>242</v>
      </c>
      <c r="L53" s="162">
        <v>1250.43</v>
      </c>
      <c r="M53" s="162">
        <v>1250.43</v>
      </c>
      <c r="N53" s="162">
        <f t="shared" si="2"/>
        <v>0</v>
      </c>
      <c r="O53" s="164" t="s">
        <v>243</v>
      </c>
      <c r="P53" s="162">
        <v>300</v>
      </c>
      <c r="Q53" s="132">
        <f t="shared" si="3"/>
        <v>950.43000000000006</v>
      </c>
      <c r="R53" s="162">
        <v>1287.6300000000001</v>
      </c>
      <c r="S53" s="162">
        <v>1287.6300000000001</v>
      </c>
      <c r="T53" s="162">
        <v>987.63</v>
      </c>
      <c r="U53" s="162">
        <v>1259.18</v>
      </c>
      <c r="V53" s="162">
        <v>1259.18</v>
      </c>
      <c r="W53" s="162">
        <v>959.18</v>
      </c>
      <c r="X53" s="150">
        <v>17.100000000000001</v>
      </c>
      <c r="Y53" s="276">
        <v>0.39</v>
      </c>
      <c r="Z53" s="276">
        <v>16.989999999999998</v>
      </c>
      <c r="AA53" s="162">
        <v>21.68</v>
      </c>
      <c r="AB53" s="162">
        <v>944.23</v>
      </c>
      <c r="AC53" s="151">
        <v>0.2399</v>
      </c>
      <c r="AD53" s="2"/>
      <c r="AE53" s="4">
        <f>IF(PRICING[[#This Row],[SKU]]=I52,AE52+1,1)</f>
        <v>2</v>
      </c>
      <c r="AF53" s="150" t="b">
        <v>1</v>
      </c>
      <c r="AJ53" s="168">
        <v>79545312</v>
      </c>
    </row>
    <row r="54" spans="1:36" hidden="1" x14ac:dyDescent="0.2">
      <c r="A54" s="80" t="s">
        <v>158</v>
      </c>
      <c r="B54" s="80" t="s">
        <v>172</v>
      </c>
      <c r="C54" s="80" t="s">
        <v>160</v>
      </c>
      <c r="D54" s="80" t="s">
        <v>161</v>
      </c>
      <c r="E54" s="80" t="s">
        <v>162</v>
      </c>
      <c r="F54" s="82" t="s">
        <v>190</v>
      </c>
      <c r="G54" s="90" t="s">
        <v>239</v>
      </c>
      <c r="H54" s="92" t="s">
        <v>240</v>
      </c>
      <c r="I54" s="87" t="s">
        <v>60</v>
      </c>
      <c r="J54" s="80" t="s">
        <v>241</v>
      </c>
      <c r="K54" t="s">
        <v>242</v>
      </c>
      <c r="L54" s="162">
        <v>1250.43</v>
      </c>
      <c r="M54" s="162">
        <v>1250.43</v>
      </c>
      <c r="N54" s="162">
        <f t="shared" si="2"/>
        <v>0</v>
      </c>
      <c r="O54" s="164" t="s">
        <v>234</v>
      </c>
      <c r="P54" s="162">
        <v>450</v>
      </c>
      <c r="Q54" s="132">
        <f t="shared" si="3"/>
        <v>800.43000000000006</v>
      </c>
      <c r="R54" s="162">
        <v>1287.6300000000001</v>
      </c>
      <c r="S54" s="162">
        <v>1287.6300000000001</v>
      </c>
      <c r="T54" s="162">
        <v>837.63</v>
      </c>
      <c r="U54" s="162">
        <v>1259.18</v>
      </c>
      <c r="V54" s="162">
        <v>1259.18</v>
      </c>
      <c r="W54" s="162">
        <v>809.18</v>
      </c>
      <c r="X54" s="150">
        <v>17.100000000000001</v>
      </c>
      <c r="Y54" s="276">
        <v>0.39</v>
      </c>
      <c r="Z54" s="276">
        <v>16.989999999999998</v>
      </c>
      <c r="AA54" s="162">
        <v>18.260000000000002</v>
      </c>
      <c r="AB54" s="162">
        <v>795.21</v>
      </c>
      <c r="AC54" s="151">
        <v>0.3599</v>
      </c>
      <c r="AD54" s="2"/>
      <c r="AE54" s="4">
        <f>IF(PRICING[[#This Row],[SKU]]=I53,AE53+1,1)</f>
        <v>3</v>
      </c>
      <c r="AF54" s="150" t="b">
        <v>1</v>
      </c>
      <c r="AJ54" s="168" t="s">
        <v>67</v>
      </c>
    </row>
    <row r="55" spans="1:36" hidden="1" x14ac:dyDescent="0.2">
      <c r="A55" s="80" t="s">
        <v>158</v>
      </c>
      <c r="B55" s="80" t="s">
        <v>172</v>
      </c>
      <c r="C55" s="80" t="s">
        <v>160</v>
      </c>
      <c r="D55" s="80" t="s">
        <v>161</v>
      </c>
      <c r="E55" s="80" t="s">
        <v>162</v>
      </c>
      <c r="F55" s="82" t="s">
        <v>190</v>
      </c>
      <c r="G55" s="83"/>
      <c r="H55" s="82"/>
      <c r="I55" s="87">
        <v>81701245</v>
      </c>
      <c r="J55" s="80" t="s">
        <v>244</v>
      </c>
      <c r="K55" t="s">
        <v>165</v>
      </c>
      <c r="L55" s="162">
        <v>598.4</v>
      </c>
      <c r="M55" s="162">
        <v>598.4</v>
      </c>
      <c r="N55" s="162">
        <f t="shared" si="2"/>
        <v>0</v>
      </c>
      <c r="O55" s="164" t="s">
        <v>233</v>
      </c>
      <c r="P55" s="162">
        <v>0</v>
      </c>
      <c r="Q55" s="132">
        <f t="shared" si="3"/>
        <v>598.4</v>
      </c>
      <c r="R55" s="162">
        <v>616.20000000000005</v>
      </c>
      <c r="S55" s="162">
        <v>616.20000000000005</v>
      </c>
      <c r="T55" s="162">
        <v>616.20000000000005</v>
      </c>
      <c r="U55" s="162">
        <v>602.59</v>
      </c>
      <c r="V55" s="162">
        <v>602.59</v>
      </c>
      <c r="W55" s="162">
        <v>602.59</v>
      </c>
      <c r="X55" s="150">
        <v>320</v>
      </c>
      <c r="Y55" s="276">
        <v>4</v>
      </c>
      <c r="Z55" s="276">
        <v>174.24</v>
      </c>
      <c r="AA55" s="162">
        <v>7.48</v>
      </c>
      <c r="AB55" s="162">
        <v>325.83</v>
      </c>
      <c r="AC55" s="151">
        <v>0</v>
      </c>
      <c r="AD55" s="2"/>
      <c r="AE55" s="4">
        <f>IF(PRICING[[#This Row],[SKU]]=I54,AE54+1,1)</f>
        <v>1</v>
      </c>
      <c r="AF55" s="150" t="b">
        <v>1</v>
      </c>
      <c r="AJ55" s="168" t="s">
        <v>68</v>
      </c>
    </row>
    <row r="56" spans="1:36" hidden="1" x14ac:dyDescent="0.2">
      <c r="A56" s="80" t="s">
        <v>158</v>
      </c>
      <c r="B56" s="80" t="s">
        <v>172</v>
      </c>
      <c r="C56" s="80" t="s">
        <v>160</v>
      </c>
      <c r="D56" s="80" t="s">
        <v>161</v>
      </c>
      <c r="E56" s="80" t="s">
        <v>162</v>
      </c>
      <c r="F56" s="82" t="s">
        <v>190</v>
      </c>
      <c r="G56" s="83"/>
      <c r="H56" s="82"/>
      <c r="I56" s="87">
        <v>81701245</v>
      </c>
      <c r="J56" s="80" t="s">
        <v>244</v>
      </c>
      <c r="K56" t="s">
        <v>165</v>
      </c>
      <c r="L56" s="162">
        <v>598.4</v>
      </c>
      <c r="M56" s="162">
        <v>598.4</v>
      </c>
      <c r="N56" s="162">
        <f t="shared" si="2"/>
        <v>0</v>
      </c>
      <c r="O56" s="164" t="s">
        <v>234</v>
      </c>
      <c r="P56" s="162">
        <v>75</v>
      </c>
      <c r="Q56" s="132">
        <f t="shared" si="3"/>
        <v>523.4</v>
      </c>
      <c r="R56" s="162">
        <v>616.20000000000005</v>
      </c>
      <c r="S56" s="162">
        <v>616.20000000000005</v>
      </c>
      <c r="T56" s="162">
        <v>541.20000000000005</v>
      </c>
      <c r="U56" s="162">
        <v>602.59</v>
      </c>
      <c r="V56" s="162">
        <v>602.59</v>
      </c>
      <c r="W56" s="162">
        <v>527.59</v>
      </c>
      <c r="X56" s="150">
        <v>320</v>
      </c>
      <c r="Y56" s="276">
        <v>4</v>
      </c>
      <c r="Z56" s="276">
        <v>174.24</v>
      </c>
      <c r="AA56" s="162">
        <v>6.54</v>
      </c>
      <c r="AB56" s="162">
        <v>284.99</v>
      </c>
      <c r="AC56" s="151">
        <v>0.12529999999999999</v>
      </c>
      <c r="AD56" s="2"/>
      <c r="AE56" s="4">
        <f>IF(PRICING[[#This Row],[SKU]]=I55,AE55+1,1)</f>
        <v>2</v>
      </c>
      <c r="AF56" s="150" t="b">
        <v>1</v>
      </c>
      <c r="AJ56" s="168" t="s">
        <v>69</v>
      </c>
    </row>
    <row r="57" spans="1:36" hidden="1" x14ac:dyDescent="0.2">
      <c r="A57" s="80" t="s">
        <v>210</v>
      </c>
      <c r="B57" s="80" t="s">
        <v>172</v>
      </c>
      <c r="C57" s="80" t="s">
        <v>160</v>
      </c>
      <c r="D57" s="80" t="s">
        <v>161</v>
      </c>
      <c r="E57" s="80" t="s">
        <v>162</v>
      </c>
      <c r="F57" s="82" t="s">
        <v>163</v>
      </c>
      <c r="G57" s="83"/>
      <c r="H57" s="82"/>
      <c r="I57" s="87">
        <v>11013671</v>
      </c>
      <c r="J57" s="80" t="s">
        <v>245</v>
      </c>
      <c r="K57" t="s">
        <v>178</v>
      </c>
      <c r="L57" s="162">
        <v>924.16</v>
      </c>
      <c r="M57" s="162">
        <v>924.16</v>
      </c>
      <c r="N57" s="162">
        <f t="shared" si="2"/>
        <v>0</v>
      </c>
      <c r="O57" s="164" t="s">
        <v>215</v>
      </c>
      <c r="P57" s="162">
        <v>0</v>
      </c>
      <c r="Q57" s="132">
        <f t="shared" si="3"/>
        <v>924.16</v>
      </c>
      <c r="R57" s="162">
        <v>0</v>
      </c>
      <c r="S57" s="162">
        <v>0</v>
      </c>
      <c r="T57" s="162">
        <v>0</v>
      </c>
      <c r="U57" s="162">
        <v>930.63</v>
      </c>
      <c r="V57" s="162">
        <v>930.63</v>
      </c>
      <c r="W57" s="162">
        <v>930.63</v>
      </c>
      <c r="X57" s="150">
        <v>64</v>
      </c>
      <c r="Y57" s="276">
        <v>0.4</v>
      </c>
      <c r="Z57" s="276">
        <v>17.420000000000002</v>
      </c>
      <c r="AA57" s="162">
        <v>5.78</v>
      </c>
      <c r="AB57" s="162">
        <v>251.6</v>
      </c>
      <c r="AC57" s="151">
        <v>0</v>
      </c>
      <c r="AD57" s="2"/>
      <c r="AE57" s="4">
        <f>IF(PRICING[[#This Row],[SKU]]=I56,AE56+1,1)</f>
        <v>1</v>
      </c>
      <c r="AF57" s="150" t="b">
        <v>0</v>
      </c>
      <c r="AJ57" s="168">
        <v>427709</v>
      </c>
    </row>
    <row r="58" spans="1:36" hidden="1" x14ac:dyDescent="0.2">
      <c r="A58" s="80" t="s">
        <v>210</v>
      </c>
      <c r="B58" s="80" t="s">
        <v>172</v>
      </c>
      <c r="C58" s="80" t="s">
        <v>160</v>
      </c>
      <c r="D58" s="80" t="s">
        <v>161</v>
      </c>
      <c r="E58" s="80" t="s">
        <v>162</v>
      </c>
      <c r="F58" s="82" t="s">
        <v>163</v>
      </c>
      <c r="G58" s="83"/>
      <c r="H58" s="82"/>
      <c r="I58" s="87">
        <v>11013671</v>
      </c>
      <c r="J58" s="80" t="s">
        <v>245</v>
      </c>
      <c r="K58" t="s">
        <v>178</v>
      </c>
      <c r="L58" s="162">
        <v>924.16</v>
      </c>
      <c r="M58" s="162">
        <v>924.16</v>
      </c>
      <c r="N58" s="162">
        <f t="shared" si="2"/>
        <v>0</v>
      </c>
      <c r="O58" s="164" t="s">
        <v>216</v>
      </c>
      <c r="P58" s="162">
        <v>325</v>
      </c>
      <c r="Q58" s="132">
        <f t="shared" si="3"/>
        <v>599.16</v>
      </c>
      <c r="R58" s="162">
        <v>0</v>
      </c>
      <c r="S58" s="162">
        <v>0</v>
      </c>
      <c r="T58" s="162">
        <v>0</v>
      </c>
      <c r="U58" s="162">
        <v>930.63</v>
      </c>
      <c r="V58" s="162">
        <v>930.63</v>
      </c>
      <c r="W58" s="162">
        <v>605.63</v>
      </c>
      <c r="X58" s="150">
        <v>64</v>
      </c>
      <c r="Y58" s="276">
        <v>0.4</v>
      </c>
      <c r="Z58" s="276">
        <v>17.420000000000002</v>
      </c>
      <c r="AA58" s="162">
        <v>3.74</v>
      </c>
      <c r="AB58" s="162">
        <v>163.12</v>
      </c>
      <c r="AC58" s="151">
        <v>0.35170000000000001</v>
      </c>
      <c r="AD58" s="2"/>
      <c r="AE58" s="4">
        <f>IF(PRICING[[#This Row],[SKU]]=I57,AE57+1,1)</f>
        <v>2</v>
      </c>
      <c r="AF58" s="150" t="b">
        <v>0</v>
      </c>
      <c r="AJ58" s="168">
        <v>11014245</v>
      </c>
    </row>
    <row r="59" spans="1:36" hidden="1" x14ac:dyDescent="0.2">
      <c r="A59" s="80" t="s">
        <v>158</v>
      </c>
      <c r="B59" s="80" t="s">
        <v>172</v>
      </c>
      <c r="C59" s="80" t="s">
        <v>246</v>
      </c>
      <c r="D59" s="80"/>
      <c r="E59" s="80" t="s">
        <v>174</v>
      </c>
      <c r="F59" s="82" t="s">
        <v>175</v>
      </c>
      <c r="G59" s="93"/>
      <c r="H59" s="82"/>
      <c r="I59" s="87" t="s">
        <v>61</v>
      </c>
      <c r="J59" s="80" t="s">
        <v>247</v>
      </c>
      <c r="K59" t="s">
        <v>248</v>
      </c>
      <c r="L59" s="162">
        <v>235</v>
      </c>
      <c r="M59" s="162">
        <v>235</v>
      </c>
      <c r="N59" s="162">
        <f t="shared" si="2"/>
        <v>0</v>
      </c>
      <c r="O59">
        <v>0</v>
      </c>
      <c r="P59" s="162">
        <v>0</v>
      </c>
      <c r="Q59" s="134">
        <f t="shared" si="3"/>
        <v>235</v>
      </c>
      <c r="R59" s="162">
        <v>241.99</v>
      </c>
      <c r="S59" s="162">
        <v>241.99</v>
      </c>
      <c r="T59" s="162">
        <v>241.99</v>
      </c>
      <c r="U59" s="162">
        <v>236.65</v>
      </c>
      <c r="V59" s="162">
        <v>236.65</v>
      </c>
      <c r="W59" s="162">
        <v>236.65</v>
      </c>
      <c r="X59" s="150">
        <v>8.5</v>
      </c>
      <c r="Y59" s="276">
        <v>0.11</v>
      </c>
      <c r="Z59" s="276">
        <v>5</v>
      </c>
      <c r="AA59" s="162">
        <v>3.19</v>
      </c>
      <c r="AB59" s="162">
        <v>139</v>
      </c>
      <c r="AC59" s="151">
        <v>0</v>
      </c>
      <c r="AD59" s="81"/>
      <c r="AE59" s="4">
        <f>IF(PRICING[[#This Row],[SKU]]=I58,AE58+1,1)</f>
        <v>1</v>
      </c>
      <c r="AF59" s="150" t="b">
        <v>0</v>
      </c>
      <c r="AJ59" s="168" t="s">
        <v>70</v>
      </c>
    </row>
    <row r="60" spans="1:36" hidden="1" x14ac:dyDescent="0.2">
      <c r="A60" s="80" t="s">
        <v>158</v>
      </c>
      <c r="B60" s="80" t="s">
        <v>172</v>
      </c>
      <c r="C60" s="80" t="s">
        <v>246</v>
      </c>
      <c r="D60" s="80"/>
      <c r="E60" s="80" t="s">
        <v>174</v>
      </c>
      <c r="F60" s="82" t="s">
        <v>175</v>
      </c>
      <c r="G60" s="83"/>
      <c r="H60" s="82"/>
      <c r="I60" s="87" t="s">
        <v>62</v>
      </c>
      <c r="J60" s="80" t="s">
        <v>247</v>
      </c>
      <c r="K60" t="s">
        <v>249</v>
      </c>
      <c r="L60" s="162">
        <v>777.92</v>
      </c>
      <c r="M60" s="162">
        <v>777.92</v>
      </c>
      <c r="N60" s="162">
        <f t="shared" si="2"/>
        <v>0</v>
      </c>
      <c r="O60" t="s">
        <v>215</v>
      </c>
      <c r="P60" s="162">
        <v>0</v>
      </c>
      <c r="Q60" s="132">
        <f t="shared" si="3"/>
        <v>777.92</v>
      </c>
      <c r="R60" s="162">
        <v>801.06</v>
      </c>
      <c r="S60" s="162">
        <v>801.06</v>
      </c>
      <c r="T60" s="162">
        <v>801.06</v>
      </c>
      <c r="U60" s="162">
        <v>783.37</v>
      </c>
      <c r="V60" s="162">
        <v>783.37</v>
      </c>
      <c r="W60" s="162">
        <v>783.37</v>
      </c>
      <c r="X60" s="150">
        <v>32</v>
      </c>
      <c r="Y60" s="276">
        <v>0.11</v>
      </c>
      <c r="Z60" s="276">
        <v>5</v>
      </c>
      <c r="AA60" s="162">
        <v>2.79</v>
      </c>
      <c r="AB60" s="162">
        <v>121.55</v>
      </c>
      <c r="AC60" s="151">
        <v>0</v>
      </c>
      <c r="AD60" s="2"/>
      <c r="AE60" s="4">
        <f>IF(PRICING[[#This Row],[SKU]]=I59,AE59+1,1)</f>
        <v>1</v>
      </c>
      <c r="AF60" s="150" t="b">
        <v>0</v>
      </c>
      <c r="AJ60" s="165" t="s">
        <v>71</v>
      </c>
    </row>
    <row r="61" spans="1:36" hidden="1" x14ac:dyDescent="0.2">
      <c r="A61" s="80" t="s">
        <v>158</v>
      </c>
      <c r="B61" s="80" t="s">
        <v>172</v>
      </c>
      <c r="C61" s="80" t="s">
        <v>246</v>
      </c>
      <c r="D61" s="80"/>
      <c r="E61" s="80" t="s">
        <v>174</v>
      </c>
      <c r="F61" s="82" t="s">
        <v>175</v>
      </c>
      <c r="G61" s="83"/>
      <c r="H61" s="82"/>
      <c r="I61" s="87" t="s">
        <v>63</v>
      </c>
      <c r="J61" s="80" t="s">
        <v>247</v>
      </c>
      <c r="K61" t="s">
        <v>249</v>
      </c>
      <c r="L61" s="162">
        <v>777.92</v>
      </c>
      <c r="M61" s="162">
        <v>719.68</v>
      </c>
      <c r="N61" s="162">
        <f t="shared" si="2"/>
        <v>58.240000000000009</v>
      </c>
      <c r="O61" t="s">
        <v>250</v>
      </c>
      <c r="P61" s="162">
        <v>0</v>
      </c>
      <c r="Q61" s="132">
        <f t="shared" si="3"/>
        <v>719.68</v>
      </c>
      <c r="R61" s="162">
        <v>801.06</v>
      </c>
      <c r="S61" s="162">
        <v>741.12</v>
      </c>
      <c r="T61" s="162">
        <v>741.12</v>
      </c>
      <c r="U61" s="162">
        <v>783.37</v>
      </c>
      <c r="V61" s="162">
        <v>724.8</v>
      </c>
      <c r="W61" s="162">
        <v>724.8</v>
      </c>
      <c r="X61" s="150">
        <v>32</v>
      </c>
      <c r="Y61" s="276">
        <v>0.11</v>
      </c>
      <c r="Z61" s="276">
        <v>5</v>
      </c>
      <c r="AA61" s="162">
        <v>2.58</v>
      </c>
      <c r="AB61" s="162">
        <v>112.45</v>
      </c>
      <c r="AC61" s="151">
        <v>7.4899999999999994E-2</v>
      </c>
      <c r="AD61" s="2"/>
      <c r="AE61" s="4">
        <f>IF(PRICING[[#This Row],[SKU]]=I60,AE60+1,1)</f>
        <v>1</v>
      </c>
      <c r="AF61" s="150" t="b">
        <v>0</v>
      </c>
      <c r="AJ61" s="168">
        <v>11008482</v>
      </c>
    </row>
    <row r="62" spans="1:36" hidden="1" x14ac:dyDescent="0.2">
      <c r="A62" s="80" t="s">
        <v>158</v>
      </c>
      <c r="B62" s="80" t="s">
        <v>172</v>
      </c>
      <c r="C62" s="80" t="s">
        <v>246</v>
      </c>
      <c r="D62" s="80"/>
      <c r="E62" s="80" t="s">
        <v>174</v>
      </c>
      <c r="F62" s="82" t="s">
        <v>175</v>
      </c>
      <c r="G62" s="83"/>
      <c r="H62" s="82"/>
      <c r="I62" s="87" t="s">
        <v>64</v>
      </c>
      <c r="J62" s="80" t="s">
        <v>247</v>
      </c>
      <c r="K62" t="s">
        <v>249</v>
      </c>
      <c r="L62" s="162">
        <v>777.92</v>
      </c>
      <c r="M62" s="162">
        <v>661.12</v>
      </c>
      <c r="N62" s="162">
        <f t="shared" si="2"/>
        <v>116.79999999999995</v>
      </c>
      <c r="O62" t="s">
        <v>193</v>
      </c>
      <c r="P62" s="162">
        <v>0</v>
      </c>
      <c r="Q62" s="134">
        <f t="shared" si="3"/>
        <v>661.12</v>
      </c>
      <c r="R62" s="162">
        <v>801.06</v>
      </c>
      <c r="S62" s="162">
        <v>680.96</v>
      </c>
      <c r="T62" s="162">
        <v>680.96</v>
      </c>
      <c r="U62" s="162">
        <v>783.37</v>
      </c>
      <c r="V62" s="162">
        <v>665.92</v>
      </c>
      <c r="W62" s="162">
        <v>665.92</v>
      </c>
      <c r="X62" s="150">
        <v>32</v>
      </c>
      <c r="Y62" s="276">
        <v>0.11</v>
      </c>
      <c r="Z62" s="276">
        <v>5</v>
      </c>
      <c r="AA62" s="162">
        <v>2.37</v>
      </c>
      <c r="AB62" s="162">
        <v>103.3</v>
      </c>
      <c r="AC62" s="151">
        <v>0.15010000000000001</v>
      </c>
      <c r="AD62" s="81"/>
      <c r="AE62" s="4">
        <f>IF(PRICING[[#This Row],[SKU]]=I61,AE61+1,1)</f>
        <v>1</v>
      </c>
      <c r="AF62" s="150" t="b">
        <v>0</v>
      </c>
      <c r="AJ62" s="168">
        <v>11008522</v>
      </c>
    </row>
    <row r="63" spans="1:36" hidden="1" x14ac:dyDescent="0.2">
      <c r="A63" s="145" t="s">
        <v>158</v>
      </c>
      <c r="B63" s="145" t="s">
        <v>159</v>
      </c>
      <c r="C63" s="145" t="s">
        <v>166</v>
      </c>
      <c r="D63" s="145"/>
      <c r="E63" s="145" t="s">
        <v>174</v>
      </c>
      <c r="F63" s="145" t="s">
        <v>163</v>
      </c>
      <c r="G63" s="146"/>
      <c r="H63" s="147"/>
      <c r="I63" s="87" t="s">
        <v>96</v>
      </c>
      <c r="J63" s="148" t="s">
        <v>251</v>
      </c>
      <c r="K63" s="149" t="s">
        <v>252</v>
      </c>
      <c r="L63" s="162">
        <v>26.42</v>
      </c>
      <c r="M63" s="162">
        <v>26.42</v>
      </c>
      <c r="N63" s="162">
        <f t="shared" si="2"/>
        <v>0</v>
      </c>
      <c r="O63" s="164">
        <v>0</v>
      </c>
      <c r="P63" s="162">
        <v>0</v>
      </c>
      <c r="Q63" s="132">
        <f t="shared" si="3"/>
        <v>26.42</v>
      </c>
      <c r="R63" s="162">
        <v>0</v>
      </c>
      <c r="S63" s="162">
        <v>0</v>
      </c>
      <c r="T63" s="162">
        <v>0</v>
      </c>
      <c r="U63" s="162">
        <v>0</v>
      </c>
      <c r="V63" s="162">
        <v>0</v>
      </c>
      <c r="W63" s="162">
        <v>0</v>
      </c>
      <c r="X63" s="150">
        <v>6.4</v>
      </c>
      <c r="Y63" s="276">
        <v>1.9</v>
      </c>
      <c r="Z63" s="276">
        <v>82.76</v>
      </c>
      <c r="AA63" s="162">
        <v>7.84</v>
      </c>
      <c r="AB63" s="162">
        <v>341.66</v>
      </c>
      <c r="AC63" s="151">
        <v>0</v>
      </c>
      <c r="AD63" s="2"/>
      <c r="AE63" s="4">
        <f>IF(PRICING[[#This Row],[SKU]]=I62,AE62+1,1)</f>
        <v>1</v>
      </c>
      <c r="AF63" s="150" t="b">
        <v>0</v>
      </c>
      <c r="AJ63" s="168">
        <v>11008369</v>
      </c>
    </row>
    <row r="64" spans="1:36" hidden="1" x14ac:dyDescent="0.2">
      <c r="A64" s="80" t="s">
        <v>158</v>
      </c>
      <c r="B64" s="80" t="s">
        <v>159</v>
      </c>
      <c r="C64" s="80" t="s">
        <v>166</v>
      </c>
      <c r="D64" s="80" t="s">
        <v>161</v>
      </c>
      <c r="E64" s="80" t="s">
        <v>174</v>
      </c>
      <c r="F64" s="82" t="s">
        <v>163</v>
      </c>
      <c r="G64" s="83" t="s">
        <v>253</v>
      </c>
      <c r="H64" s="82"/>
      <c r="I64" s="87" t="s">
        <v>95</v>
      </c>
      <c r="J64" s="82" t="s">
        <v>254</v>
      </c>
      <c r="K64" t="s">
        <v>170</v>
      </c>
      <c r="L64" s="162">
        <v>53.55</v>
      </c>
      <c r="M64" s="162">
        <v>53.55</v>
      </c>
      <c r="N64" s="162">
        <f t="shared" si="2"/>
        <v>0</v>
      </c>
      <c r="O64" s="164">
        <v>0</v>
      </c>
      <c r="P64" s="162">
        <v>1</v>
      </c>
      <c r="Q64" s="132">
        <f t="shared" si="3"/>
        <v>52.55</v>
      </c>
      <c r="R64" s="162">
        <v>0</v>
      </c>
      <c r="S64" s="162">
        <v>0</v>
      </c>
      <c r="T64" s="162">
        <v>0</v>
      </c>
      <c r="U64" s="162">
        <v>0</v>
      </c>
      <c r="V64" s="162">
        <v>0</v>
      </c>
      <c r="W64" s="162">
        <v>0</v>
      </c>
      <c r="X64" s="150">
        <v>128</v>
      </c>
      <c r="Y64" s="276">
        <v>0.6</v>
      </c>
      <c r="Z64" s="276">
        <v>26.14</v>
      </c>
      <c r="AA64" s="162">
        <v>0.25</v>
      </c>
      <c r="AB64" s="162">
        <v>10.73</v>
      </c>
      <c r="AC64" s="151">
        <v>1.8700000000000001E-2</v>
      </c>
      <c r="AD64" s="2"/>
      <c r="AE64" s="4">
        <f>IF(PRICING[[#This Row],[SKU]]=I63,AE63+1,1)</f>
        <v>1</v>
      </c>
      <c r="AF64" s="150" t="b">
        <v>0</v>
      </c>
      <c r="AJ64" s="168">
        <v>11013862</v>
      </c>
    </row>
    <row r="65" spans="1:36" hidden="1" x14ac:dyDescent="0.2">
      <c r="A65" s="80" t="s">
        <v>158</v>
      </c>
      <c r="B65" s="80" t="s">
        <v>172</v>
      </c>
      <c r="C65" s="80" t="s">
        <v>160</v>
      </c>
      <c r="D65" s="80" t="s">
        <v>161</v>
      </c>
      <c r="E65" s="80" t="s">
        <v>162</v>
      </c>
      <c r="F65" s="80" t="s">
        <v>190</v>
      </c>
      <c r="G65" s="93" t="s">
        <v>255</v>
      </c>
      <c r="H65" s="80"/>
      <c r="I65" s="87" t="s">
        <v>65</v>
      </c>
      <c r="J65" s="80" t="s">
        <v>256</v>
      </c>
      <c r="K65" t="s">
        <v>165</v>
      </c>
      <c r="L65" s="162">
        <v>515.20000000000005</v>
      </c>
      <c r="M65" s="162">
        <v>515.20000000000005</v>
      </c>
      <c r="N65" s="162">
        <f t="shared" si="2"/>
        <v>0</v>
      </c>
      <c r="O65" s="164" t="s">
        <v>215</v>
      </c>
      <c r="P65" s="162">
        <v>15</v>
      </c>
      <c r="Q65" s="134">
        <f t="shared" si="3"/>
        <v>500.20000000000005</v>
      </c>
      <c r="R65" s="162">
        <v>530.53</v>
      </c>
      <c r="S65" s="162">
        <v>530.53</v>
      </c>
      <c r="T65" s="162">
        <v>515.53</v>
      </c>
      <c r="U65" s="162">
        <v>518.80999999999995</v>
      </c>
      <c r="V65" s="162">
        <v>518.80999999999995</v>
      </c>
      <c r="W65" s="162">
        <v>503.81</v>
      </c>
      <c r="X65" s="150">
        <v>320</v>
      </c>
      <c r="Y65" s="276">
        <v>1</v>
      </c>
      <c r="Z65" s="276">
        <v>43.56</v>
      </c>
      <c r="AA65" s="162">
        <v>1.56</v>
      </c>
      <c r="AB65" s="162">
        <v>68.09</v>
      </c>
      <c r="AC65" s="151">
        <v>2.9100000000000001E-2</v>
      </c>
      <c r="AD65" s="81"/>
      <c r="AE65" s="4">
        <f>IF(PRICING[[#This Row],[SKU]]=I64,AE64+1,1)</f>
        <v>1</v>
      </c>
      <c r="AF65" s="150" t="b">
        <v>1</v>
      </c>
      <c r="AJ65" s="168" t="s">
        <v>72</v>
      </c>
    </row>
    <row r="66" spans="1:36" hidden="1" x14ac:dyDescent="0.2">
      <c r="A66" s="80" t="s">
        <v>158</v>
      </c>
      <c r="B66" s="80" t="s">
        <v>172</v>
      </c>
      <c r="C66" s="80" t="s">
        <v>160</v>
      </c>
      <c r="D66" s="80" t="s">
        <v>161</v>
      </c>
      <c r="E66" s="80" t="s">
        <v>162</v>
      </c>
      <c r="F66" s="82" t="s">
        <v>190</v>
      </c>
      <c r="G66" s="93" t="s">
        <v>255</v>
      </c>
      <c r="H66" s="80"/>
      <c r="I66" s="87" t="s">
        <v>65</v>
      </c>
      <c r="J66" s="80" t="s">
        <v>256</v>
      </c>
      <c r="K66" t="s">
        <v>165</v>
      </c>
      <c r="L66" s="162">
        <v>515.20000000000005</v>
      </c>
      <c r="M66" s="162">
        <v>515.20000000000005</v>
      </c>
      <c r="N66" s="162">
        <f t="shared" ref="N66:N97" si="4">L66-M66</f>
        <v>0</v>
      </c>
      <c r="O66" s="164" t="s">
        <v>216</v>
      </c>
      <c r="P66" s="162">
        <v>75</v>
      </c>
      <c r="Q66" s="132">
        <f t="shared" ref="Q66:Q97" si="5">M66-P66</f>
        <v>440.20000000000005</v>
      </c>
      <c r="R66" s="162">
        <v>530.53</v>
      </c>
      <c r="S66" s="162">
        <v>530.53</v>
      </c>
      <c r="T66" s="162">
        <v>455.53</v>
      </c>
      <c r="U66" s="162">
        <v>518.80999999999995</v>
      </c>
      <c r="V66" s="162">
        <v>518.80999999999995</v>
      </c>
      <c r="W66" s="162">
        <v>443.81</v>
      </c>
      <c r="X66" s="150">
        <v>320</v>
      </c>
      <c r="Y66" s="276">
        <v>1</v>
      </c>
      <c r="Z66" s="276">
        <v>43.56</v>
      </c>
      <c r="AA66" s="162">
        <v>1.38</v>
      </c>
      <c r="AB66" s="162">
        <v>59.92</v>
      </c>
      <c r="AC66" s="151">
        <v>0.14560000000000001</v>
      </c>
      <c r="AD66" s="2"/>
      <c r="AE66" s="4">
        <f>IF(PRICING[[#This Row],[SKU]]=I65,AE65+1,1)</f>
        <v>2</v>
      </c>
      <c r="AF66" s="150" t="b">
        <v>1</v>
      </c>
      <c r="AJ66" s="168" t="s">
        <v>73</v>
      </c>
    </row>
    <row r="67" spans="1:36" hidden="1" x14ac:dyDescent="0.2">
      <c r="A67" s="80" t="s">
        <v>158</v>
      </c>
      <c r="B67" s="80" t="s">
        <v>159</v>
      </c>
      <c r="C67" s="80" t="s">
        <v>160</v>
      </c>
      <c r="D67" s="80" t="s">
        <v>161</v>
      </c>
      <c r="E67" s="80" t="s">
        <v>168</v>
      </c>
      <c r="F67" s="82" t="s">
        <v>163</v>
      </c>
      <c r="G67" s="83"/>
      <c r="H67" s="82"/>
      <c r="I67" s="87">
        <v>86215578</v>
      </c>
      <c r="J67" s="82" t="s">
        <v>257</v>
      </c>
      <c r="K67" t="s">
        <v>183</v>
      </c>
      <c r="L67" s="162">
        <v>375.62</v>
      </c>
      <c r="M67" s="162">
        <v>375.62</v>
      </c>
      <c r="N67" s="162">
        <f t="shared" si="4"/>
        <v>0</v>
      </c>
      <c r="O67" s="164">
        <v>0</v>
      </c>
      <c r="P67" s="162">
        <v>15</v>
      </c>
      <c r="Q67" s="132">
        <f t="shared" si="5"/>
        <v>360.62</v>
      </c>
      <c r="R67" s="162">
        <v>0</v>
      </c>
      <c r="S67" s="162">
        <v>0</v>
      </c>
      <c r="T67" s="162">
        <v>0</v>
      </c>
      <c r="U67" s="162">
        <v>0</v>
      </c>
      <c r="V67" s="162">
        <v>0</v>
      </c>
      <c r="W67" s="162">
        <v>0</v>
      </c>
      <c r="X67" s="150">
        <v>320</v>
      </c>
      <c r="Y67" s="276">
        <v>1.95</v>
      </c>
      <c r="Z67" s="276">
        <v>85</v>
      </c>
      <c r="AA67" s="162">
        <v>2.2000000000000002</v>
      </c>
      <c r="AB67" s="162">
        <v>95.79</v>
      </c>
      <c r="AC67" s="151">
        <v>3.9899999999999998E-2</v>
      </c>
      <c r="AD67" s="2"/>
      <c r="AE67" s="4">
        <f>IF(PRICING[[#This Row],[SKU]]=I66,AE66+1,1)</f>
        <v>1</v>
      </c>
      <c r="AF67" s="150" t="b">
        <v>0</v>
      </c>
      <c r="AJ67" s="168" t="s">
        <v>74</v>
      </c>
    </row>
    <row r="68" spans="1:36" hidden="1" x14ac:dyDescent="0.2">
      <c r="A68" s="80" t="s">
        <v>158</v>
      </c>
      <c r="B68" s="80" t="s">
        <v>159</v>
      </c>
      <c r="C68" s="80" t="s">
        <v>160</v>
      </c>
      <c r="D68" s="80" t="s">
        <v>161</v>
      </c>
      <c r="E68" s="80" t="s">
        <v>258</v>
      </c>
      <c r="F68" s="82" t="s">
        <v>163</v>
      </c>
      <c r="G68" s="85" t="s">
        <v>259</v>
      </c>
      <c r="H68" s="82"/>
      <c r="I68" s="87" t="s">
        <v>97</v>
      </c>
      <c r="J68" s="82" t="s">
        <v>260</v>
      </c>
      <c r="K68" t="s">
        <v>183</v>
      </c>
      <c r="L68" s="162">
        <v>104.3</v>
      </c>
      <c r="M68" s="162">
        <v>104.3</v>
      </c>
      <c r="N68" s="162">
        <f t="shared" si="4"/>
        <v>0</v>
      </c>
      <c r="O68" s="164">
        <v>0</v>
      </c>
      <c r="P68" s="162">
        <v>5</v>
      </c>
      <c r="Q68" s="132">
        <f t="shared" si="5"/>
        <v>99.3</v>
      </c>
      <c r="R68" s="162">
        <v>0</v>
      </c>
      <c r="S68" s="162">
        <v>0</v>
      </c>
      <c r="T68" s="162">
        <v>0</v>
      </c>
      <c r="U68" s="162">
        <v>0</v>
      </c>
      <c r="V68" s="162">
        <v>0</v>
      </c>
      <c r="W68" s="162">
        <v>0</v>
      </c>
      <c r="X68" s="150">
        <v>320</v>
      </c>
      <c r="Y68" s="276">
        <v>5</v>
      </c>
      <c r="Z68" s="276">
        <v>217.8</v>
      </c>
      <c r="AA68" s="162">
        <v>1.55</v>
      </c>
      <c r="AB68" s="162">
        <v>67.59</v>
      </c>
      <c r="AC68" s="151">
        <v>4.7899999999999998E-2</v>
      </c>
      <c r="AD68" s="2"/>
      <c r="AE68" s="4">
        <f>IF(PRICING[[#This Row],[SKU]]=I67,AE67+1,1)</f>
        <v>1</v>
      </c>
      <c r="AF68" s="150" t="b">
        <v>0</v>
      </c>
      <c r="AJ68" s="168" t="s">
        <v>75</v>
      </c>
    </row>
    <row r="69" spans="1:36" hidden="1" x14ac:dyDescent="0.2">
      <c r="A69" s="80" t="s">
        <v>210</v>
      </c>
      <c r="B69" s="80" t="s">
        <v>159</v>
      </c>
      <c r="C69" s="80" t="s">
        <v>166</v>
      </c>
      <c r="D69" s="80" t="s">
        <v>161</v>
      </c>
      <c r="E69" s="80" t="s">
        <v>168</v>
      </c>
      <c r="F69" s="82" t="s">
        <v>163</v>
      </c>
      <c r="G69" s="83"/>
      <c r="H69" s="82"/>
      <c r="I69" s="87">
        <v>11008447</v>
      </c>
      <c r="J69" s="80" t="s">
        <v>261</v>
      </c>
      <c r="K69" t="s">
        <v>262</v>
      </c>
      <c r="L69" s="162">
        <v>169.93</v>
      </c>
      <c r="M69" s="162">
        <v>169.93</v>
      </c>
      <c r="N69" s="162">
        <f t="shared" si="4"/>
        <v>0</v>
      </c>
      <c r="O69" s="164">
        <v>0</v>
      </c>
      <c r="P69" s="162">
        <v>20</v>
      </c>
      <c r="Q69" s="132">
        <f t="shared" si="5"/>
        <v>149.93</v>
      </c>
      <c r="R69" s="162">
        <v>0</v>
      </c>
      <c r="S69" s="162">
        <v>0</v>
      </c>
      <c r="T69" s="162">
        <v>0</v>
      </c>
      <c r="U69" s="162">
        <v>0</v>
      </c>
      <c r="V69" s="162">
        <v>0</v>
      </c>
      <c r="W69" s="162">
        <v>0</v>
      </c>
      <c r="X69" s="150">
        <v>8</v>
      </c>
      <c r="Y69" s="276">
        <v>0.03</v>
      </c>
      <c r="Z69" s="276">
        <v>1.2</v>
      </c>
      <c r="AA69" s="162">
        <v>0.52</v>
      </c>
      <c r="AB69" s="162">
        <v>22.49</v>
      </c>
      <c r="AC69" s="151">
        <v>0.1177</v>
      </c>
      <c r="AD69" s="2"/>
      <c r="AE69" s="4">
        <f>IF(PRICING[[#This Row],[SKU]]=I68,AE68+1,1)</f>
        <v>1</v>
      </c>
      <c r="AF69" s="150" t="b">
        <v>0</v>
      </c>
      <c r="AJ69" s="168" t="s">
        <v>77</v>
      </c>
    </row>
    <row r="70" spans="1:36" hidden="1" x14ac:dyDescent="0.2">
      <c r="A70" s="80" t="s">
        <v>210</v>
      </c>
      <c r="B70" s="80" t="s">
        <v>172</v>
      </c>
      <c r="C70" s="80" t="s">
        <v>160</v>
      </c>
      <c r="D70" s="80" t="s">
        <v>161</v>
      </c>
      <c r="E70" s="80" t="s">
        <v>162</v>
      </c>
      <c r="F70" s="82" t="s">
        <v>190</v>
      </c>
      <c r="G70" s="83"/>
      <c r="H70" s="82"/>
      <c r="I70" s="87">
        <v>11003880</v>
      </c>
      <c r="J70" s="80" t="s">
        <v>263</v>
      </c>
      <c r="K70" t="s">
        <v>165</v>
      </c>
      <c r="L70" s="162">
        <v>659.2</v>
      </c>
      <c r="M70" s="162">
        <v>659.2</v>
      </c>
      <c r="N70" s="162">
        <f t="shared" si="4"/>
        <v>0</v>
      </c>
      <c r="O70" s="164" t="s">
        <v>233</v>
      </c>
      <c r="P70" s="162">
        <v>0</v>
      </c>
      <c r="Q70" s="132">
        <f t="shared" si="5"/>
        <v>659.2</v>
      </c>
      <c r="R70" s="162">
        <v>0</v>
      </c>
      <c r="S70" s="162">
        <v>0</v>
      </c>
      <c r="T70" s="162">
        <v>0</v>
      </c>
      <c r="U70" s="162">
        <v>663.81</v>
      </c>
      <c r="V70" s="162">
        <v>663.81</v>
      </c>
      <c r="W70" s="162">
        <v>663.81</v>
      </c>
      <c r="X70" s="150">
        <v>320</v>
      </c>
      <c r="Y70" s="276">
        <v>1.4</v>
      </c>
      <c r="Z70" s="276">
        <v>60.98</v>
      </c>
      <c r="AA70" s="162">
        <v>2.88</v>
      </c>
      <c r="AB70" s="162">
        <v>125.63</v>
      </c>
      <c r="AC70" s="151">
        <v>0</v>
      </c>
      <c r="AD70" s="2"/>
      <c r="AE70" s="4">
        <f>IF(PRICING[[#This Row],[SKU]]=I69,AE69+1,1)</f>
        <v>1</v>
      </c>
      <c r="AF70" s="150" t="b">
        <v>1</v>
      </c>
      <c r="AJ70" s="168" t="s">
        <v>78</v>
      </c>
    </row>
    <row r="71" spans="1:36" hidden="1" x14ac:dyDescent="0.2">
      <c r="A71" s="80" t="s">
        <v>210</v>
      </c>
      <c r="B71" s="80" t="s">
        <v>172</v>
      </c>
      <c r="C71" s="80" t="s">
        <v>160</v>
      </c>
      <c r="D71" s="80" t="s">
        <v>161</v>
      </c>
      <c r="E71" s="80" t="s">
        <v>162</v>
      </c>
      <c r="F71" s="82" t="s">
        <v>190</v>
      </c>
      <c r="G71" s="83"/>
      <c r="H71" s="82"/>
      <c r="I71" s="87">
        <v>11003880</v>
      </c>
      <c r="J71" s="80" t="s">
        <v>263</v>
      </c>
      <c r="K71" t="s">
        <v>165</v>
      </c>
      <c r="L71" s="162">
        <v>659.2</v>
      </c>
      <c r="M71" s="162">
        <v>659.2</v>
      </c>
      <c r="N71" s="162">
        <f t="shared" si="4"/>
        <v>0</v>
      </c>
      <c r="O71" s="164" t="s">
        <v>234</v>
      </c>
      <c r="P71" s="162">
        <v>162</v>
      </c>
      <c r="Q71" s="134">
        <f t="shared" si="5"/>
        <v>497.20000000000005</v>
      </c>
      <c r="R71" s="162">
        <v>0</v>
      </c>
      <c r="S71" s="162">
        <v>0</v>
      </c>
      <c r="T71" s="162">
        <v>0</v>
      </c>
      <c r="U71" s="162">
        <v>663.81</v>
      </c>
      <c r="V71" s="162">
        <v>663.81</v>
      </c>
      <c r="W71" s="162">
        <v>501.81</v>
      </c>
      <c r="X71" s="150">
        <v>320</v>
      </c>
      <c r="Y71" s="276">
        <v>1.4</v>
      </c>
      <c r="Z71" s="276">
        <v>60.98</v>
      </c>
      <c r="AA71" s="162">
        <v>2.1800000000000002</v>
      </c>
      <c r="AB71" s="162">
        <v>94.75</v>
      </c>
      <c r="AC71" s="151">
        <v>0.24579999999999999</v>
      </c>
      <c r="AD71" s="81"/>
      <c r="AE71" s="4">
        <f>IF(PRICING[[#This Row],[SKU]]=I70,AE70+1,1)</f>
        <v>2</v>
      </c>
      <c r="AF71" s="150" t="b">
        <v>1</v>
      </c>
      <c r="AJ71" s="168">
        <v>11015981</v>
      </c>
    </row>
    <row r="72" spans="1:36" hidden="1" x14ac:dyDescent="0.2">
      <c r="A72" s="80" t="s">
        <v>158</v>
      </c>
      <c r="B72" s="80" t="s">
        <v>172</v>
      </c>
      <c r="C72" s="80" t="s">
        <v>160</v>
      </c>
      <c r="D72" s="80" t="s">
        <v>161</v>
      </c>
      <c r="E72" s="80" t="s">
        <v>162</v>
      </c>
      <c r="F72" s="82" t="s">
        <v>163</v>
      </c>
      <c r="G72" s="83"/>
      <c r="H72" s="82"/>
      <c r="I72" s="87" t="s">
        <v>66</v>
      </c>
      <c r="J72" s="80" t="s">
        <v>264</v>
      </c>
      <c r="K72" t="s">
        <v>265</v>
      </c>
      <c r="L72" s="162">
        <v>1044.48</v>
      </c>
      <c r="M72" s="162">
        <v>1044.48</v>
      </c>
      <c r="N72" s="162">
        <f t="shared" si="4"/>
        <v>0</v>
      </c>
      <c r="O72" s="164" t="s">
        <v>215</v>
      </c>
      <c r="P72" s="162">
        <v>0</v>
      </c>
      <c r="Q72" s="132">
        <f t="shared" si="5"/>
        <v>1044.48</v>
      </c>
      <c r="R72" s="162">
        <v>0</v>
      </c>
      <c r="S72" s="162">
        <v>0</v>
      </c>
      <c r="T72" s="162">
        <v>0</v>
      </c>
      <c r="U72" s="162">
        <v>1051.79</v>
      </c>
      <c r="V72" s="162">
        <v>1051.79</v>
      </c>
      <c r="W72" s="162">
        <v>1051.79</v>
      </c>
      <c r="X72" s="150">
        <v>348.16</v>
      </c>
      <c r="Y72" s="276">
        <v>4</v>
      </c>
      <c r="Z72" s="276">
        <v>174.24</v>
      </c>
      <c r="AA72" s="162">
        <v>12</v>
      </c>
      <c r="AB72" s="162">
        <v>522.72</v>
      </c>
      <c r="AC72" s="151">
        <v>0</v>
      </c>
      <c r="AD72" s="2"/>
      <c r="AE72" s="4">
        <f>IF(PRICING[[#This Row],[SKU]]=I71,AE71+1,1)</f>
        <v>1</v>
      </c>
      <c r="AF72" s="150" t="b">
        <v>1</v>
      </c>
      <c r="AJ72" s="168">
        <v>11015990</v>
      </c>
    </row>
    <row r="73" spans="1:36" hidden="1" x14ac:dyDescent="0.2">
      <c r="A73" s="80" t="s">
        <v>158</v>
      </c>
      <c r="B73" s="80" t="s">
        <v>172</v>
      </c>
      <c r="C73" s="80" t="s">
        <v>160</v>
      </c>
      <c r="D73" s="80" t="s">
        <v>161</v>
      </c>
      <c r="E73" s="80" t="s">
        <v>162</v>
      </c>
      <c r="F73" s="82" t="s">
        <v>163</v>
      </c>
      <c r="G73" s="83"/>
      <c r="H73" s="82"/>
      <c r="I73" s="87" t="s">
        <v>66</v>
      </c>
      <c r="J73" s="80" t="s">
        <v>264</v>
      </c>
      <c r="K73" t="s">
        <v>265</v>
      </c>
      <c r="L73" s="162">
        <v>1044.48</v>
      </c>
      <c r="M73" s="162">
        <v>1044.48</v>
      </c>
      <c r="N73" s="162">
        <f t="shared" si="4"/>
        <v>0</v>
      </c>
      <c r="O73" s="164" t="s">
        <v>266</v>
      </c>
      <c r="P73" s="162">
        <v>50</v>
      </c>
      <c r="Q73" s="132">
        <f t="shared" si="5"/>
        <v>994.48</v>
      </c>
      <c r="R73" s="162">
        <v>0</v>
      </c>
      <c r="S73" s="162">
        <v>0</v>
      </c>
      <c r="T73" s="162">
        <v>0</v>
      </c>
      <c r="U73" s="162">
        <v>1051.79</v>
      </c>
      <c r="V73" s="162">
        <v>1051.79</v>
      </c>
      <c r="W73" s="162">
        <v>1001.79</v>
      </c>
      <c r="X73" s="150">
        <v>348.16</v>
      </c>
      <c r="Y73" s="276">
        <v>4</v>
      </c>
      <c r="Z73" s="276">
        <v>174.24</v>
      </c>
      <c r="AA73" s="162">
        <v>11.43</v>
      </c>
      <c r="AB73" s="162">
        <v>497.7</v>
      </c>
      <c r="AC73" s="151">
        <v>4.7899999999999998E-2</v>
      </c>
      <c r="AD73" s="2"/>
      <c r="AE73" s="4">
        <f>IF(PRICING[[#This Row],[SKU]]=I72,AE72+1,1)</f>
        <v>2</v>
      </c>
      <c r="AF73" s="150" t="b">
        <v>1</v>
      </c>
      <c r="AJ73" s="171">
        <v>86797658</v>
      </c>
    </row>
    <row r="74" spans="1:36" hidden="1" x14ac:dyDescent="0.2">
      <c r="A74" s="80" t="s">
        <v>158</v>
      </c>
      <c r="B74" s="80" t="s">
        <v>172</v>
      </c>
      <c r="C74" s="80" t="s">
        <v>160</v>
      </c>
      <c r="D74" s="80" t="s">
        <v>161</v>
      </c>
      <c r="E74" s="80" t="s">
        <v>162</v>
      </c>
      <c r="F74" s="82" t="s">
        <v>163</v>
      </c>
      <c r="G74" s="83"/>
      <c r="H74" s="82"/>
      <c r="I74" s="87" t="s">
        <v>66</v>
      </c>
      <c r="J74" s="80" t="s">
        <v>264</v>
      </c>
      <c r="K74" t="s">
        <v>265</v>
      </c>
      <c r="L74" s="162">
        <v>1044.48</v>
      </c>
      <c r="M74" s="162">
        <v>1044.48</v>
      </c>
      <c r="N74" s="162">
        <f t="shared" si="4"/>
        <v>0</v>
      </c>
      <c r="O74" s="164" t="s">
        <v>267</v>
      </c>
      <c r="P74" s="162">
        <v>190</v>
      </c>
      <c r="Q74" s="132">
        <f t="shared" si="5"/>
        <v>854.48</v>
      </c>
      <c r="R74" s="162">
        <v>0</v>
      </c>
      <c r="S74" s="162">
        <v>0</v>
      </c>
      <c r="T74" s="162">
        <v>0</v>
      </c>
      <c r="U74" s="162">
        <v>1051.79</v>
      </c>
      <c r="V74" s="162">
        <v>1051.79</v>
      </c>
      <c r="W74" s="162">
        <v>861.79</v>
      </c>
      <c r="X74" s="150">
        <v>348.16</v>
      </c>
      <c r="Y74" s="276">
        <v>4</v>
      </c>
      <c r="Z74" s="276">
        <v>174.24</v>
      </c>
      <c r="AA74" s="162">
        <v>9.82</v>
      </c>
      <c r="AB74" s="162">
        <v>427.63</v>
      </c>
      <c r="AC74" s="151">
        <v>0.18190000000000001</v>
      </c>
      <c r="AD74" s="2"/>
      <c r="AE74" s="4">
        <f>IF(PRICING[[#This Row],[SKU]]=I73,AE73+1,1)</f>
        <v>3</v>
      </c>
      <c r="AF74" s="150" t="b">
        <v>1</v>
      </c>
      <c r="AJ74" s="169" t="s">
        <v>98</v>
      </c>
    </row>
    <row r="75" spans="1:36" hidden="1" x14ac:dyDescent="0.2">
      <c r="A75" s="80" t="s">
        <v>158</v>
      </c>
      <c r="B75" s="80" t="s">
        <v>159</v>
      </c>
      <c r="C75" s="80" t="s">
        <v>166</v>
      </c>
      <c r="D75" s="80" t="s">
        <v>185</v>
      </c>
      <c r="E75" s="80" t="s">
        <v>168</v>
      </c>
      <c r="F75" s="82" t="s">
        <v>163</v>
      </c>
      <c r="G75" s="83"/>
      <c r="H75" s="82"/>
      <c r="I75" s="87">
        <v>79850980</v>
      </c>
      <c r="J75" s="80" t="s">
        <v>268</v>
      </c>
      <c r="K75" t="s">
        <v>269</v>
      </c>
      <c r="L75" s="162">
        <v>309.17</v>
      </c>
      <c r="M75" s="162">
        <v>309.17</v>
      </c>
      <c r="N75" s="162">
        <f t="shared" si="4"/>
        <v>0</v>
      </c>
      <c r="O75" s="164">
        <v>0</v>
      </c>
      <c r="P75" s="162">
        <v>25</v>
      </c>
      <c r="Q75" s="132">
        <f t="shared" si="5"/>
        <v>284.17</v>
      </c>
      <c r="R75" s="162">
        <v>318.37</v>
      </c>
      <c r="S75" s="162">
        <v>318.37</v>
      </c>
      <c r="T75" s="162">
        <v>278.37</v>
      </c>
      <c r="U75" s="162">
        <v>311.33</v>
      </c>
      <c r="V75" s="162">
        <v>311.33</v>
      </c>
      <c r="W75" s="162">
        <v>271.33</v>
      </c>
      <c r="X75" s="150">
        <v>32</v>
      </c>
      <c r="Y75" s="276">
        <v>0.4</v>
      </c>
      <c r="Z75" s="276">
        <v>17.399999999999999</v>
      </c>
      <c r="AA75" s="162">
        <v>3.55</v>
      </c>
      <c r="AB75" s="162">
        <v>154.52000000000001</v>
      </c>
      <c r="AC75" s="151">
        <v>8.09E-2</v>
      </c>
      <c r="AD75" s="2"/>
      <c r="AE75" s="4">
        <f>IF(PRICING[[#This Row],[SKU]]=I74,AE74+1,1)</f>
        <v>1</v>
      </c>
      <c r="AF75" s="150" t="b">
        <v>0</v>
      </c>
      <c r="AJ75" s="168">
        <v>81746257</v>
      </c>
    </row>
    <row r="76" spans="1:36" hidden="1" x14ac:dyDescent="0.2">
      <c r="A76" s="80" t="s">
        <v>158</v>
      </c>
      <c r="B76" s="80" t="s">
        <v>172</v>
      </c>
      <c r="C76" s="80" t="s">
        <v>166</v>
      </c>
      <c r="D76" s="80" t="s">
        <v>185</v>
      </c>
      <c r="E76" s="80" t="s">
        <v>168</v>
      </c>
      <c r="F76" s="82" t="s">
        <v>163</v>
      </c>
      <c r="H76" s="82"/>
      <c r="I76" s="87">
        <v>79545312</v>
      </c>
      <c r="J76" s="80" t="s">
        <v>268</v>
      </c>
      <c r="K76" t="s">
        <v>270</v>
      </c>
      <c r="L76" s="162">
        <v>832.59</v>
      </c>
      <c r="M76" s="162">
        <v>808.23</v>
      </c>
      <c r="N76" s="162">
        <f t="shared" si="4"/>
        <v>24.360000000000014</v>
      </c>
      <c r="O76" s="164" t="s">
        <v>233</v>
      </c>
      <c r="P76" s="162">
        <v>40</v>
      </c>
      <c r="Q76" s="134">
        <f t="shared" si="5"/>
        <v>768.23</v>
      </c>
      <c r="R76" s="162">
        <v>857.36</v>
      </c>
      <c r="S76" s="162">
        <v>832.59</v>
      </c>
      <c r="T76" s="162">
        <v>767.59</v>
      </c>
      <c r="U76" s="162">
        <v>838.42</v>
      </c>
      <c r="V76" s="162">
        <v>814.32</v>
      </c>
      <c r="W76" s="162">
        <v>749.32</v>
      </c>
      <c r="X76" s="150">
        <v>87</v>
      </c>
      <c r="Y76" s="276">
        <v>0.4</v>
      </c>
      <c r="Z76" s="276">
        <v>17.399999999999999</v>
      </c>
      <c r="AA76" s="162">
        <v>3.53</v>
      </c>
      <c r="AB76" s="162">
        <v>153.65</v>
      </c>
      <c r="AC76" s="151">
        <v>7.7299999999999994E-2</v>
      </c>
      <c r="AD76" s="81"/>
      <c r="AE76" s="4">
        <f>IF(PRICING[[#This Row],[SKU]]=I75,AE75+1,1)</f>
        <v>1</v>
      </c>
      <c r="AF76" s="150" t="b">
        <v>0</v>
      </c>
      <c r="AJ76" s="168">
        <v>11008521</v>
      </c>
    </row>
    <row r="77" spans="1:36" hidden="1" x14ac:dyDescent="0.2">
      <c r="A77" s="80" t="s">
        <v>158</v>
      </c>
      <c r="B77" s="80" t="s">
        <v>172</v>
      </c>
      <c r="C77" s="80" t="s">
        <v>166</v>
      </c>
      <c r="D77" s="80" t="s">
        <v>185</v>
      </c>
      <c r="E77" s="80" t="s">
        <v>168</v>
      </c>
      <c r="F77" s="82" t="s">
        <v>163</v>
      </c>
      <c r="H77" s="82"/>
      <c r="I77" s="87">
        <v>79545312</v>
      </c>
      <c r="J77" s="80" t="s">
        <v>268</v>
      </c>
      <c r="K77" t="s">
        <v>270</v>
      </c>
      <c r="L77" s="162">
        <v>832.59</v>
      </c>
      <c r="M77" s="162">
        <v>808.23</v>
      </c>
      <c r="N77" s="162">
        <f t="shared" si="4"/>
        <v>24.360000000000014</v>
      </c>
      <c r="O77" s="164" t="s">
        <v>234</v>
      </c>
      <c r="P77" s="162">
        <v>65</v>
      </c>
      <c r="Q77" s="132">
        <f t="shared" si="5"/>
        <v>743.23</v>
      </c>
      <c r="R77" s="162">
        <v>857.36</v>
      </c>
      <c r="S77" s="162">
        <v>832.59</v>
      </c>
      <c r="T77" s="162">
        <v>690.59</v>
      </c>
      <c r="U77" s="162">
        <v>838.42</v>
      </c>
      <c r="V77" s="162">
        <v>814.32</v>
      </c>
      <c r="W77" s="162">
        <v>672.32</v>
      </c>
      <c r="X77" s="150">
        <v>87</v>
      </c>
      <c r="Y77" s="276">
        <v>0.4</v>
      </c>
      <c r="Z77" s="276">
        <v>17.399999999999999</v>
      </c>
      <c r="AA77" s="162">
        <v>3.41</v>
      </c>
      <c r="AB77" s="162">
        <v>148.65</v>
      </c>
      <c r="AC77" s="151">
        <v>0.10730000000000001</v>
      </c>
      <c r="AD77" s="2"/>
      <c r="AE77" s="4">
        <f>IF(PRICING[[#This Row],[SKU]]=I76,AE76+1,1)</f>
        <v>2</v>
      </c>
      <c r="AF77" s="150" t="b">
        <v>0</v>
      </c>
      <c r="AJ77" s="168">
        <v>11008590</v>
      </c>
    </row>
    <row r="78" spans="1:36" hidden="1" x14ac:dyDescent="0.2">
      <c r="A78" s="80" t="s">
        <v>158</v>
      </c>
      <c r="B78" s="80" t="s">
        <v>172</v>
      </c>
      <c r="C78" s="80" t="s">
        <v>160</v>
      </c>
      <c r="D78" s="80" t="s">
        <v>185</v>
      </c>
      <c r="E78" s="80" t="s">
        <v>168</v>
      </c>
      <c r="F78" s="82" t="s">
        <v>163</v>
      </c>
      <c r="G78" s="83">
        <v>80847505</v>
      </c>
      <c r="H78" s="82"/>
      <c r="I78" s="87" t="s">
        <v>67</v>
      </c>
      <c r="J78" s="80" t="s">
        <v>271</v>
      </c>
      <c r="K78" t="s">
        <v>165</v>
      </c>
      <c r="L78" s="162">
        <v>576</v>
      </c>
      <c r="M78" s="162">
        <v>576</v>
      </c>
      <c r="N78" s="162">
        <f t="shared" si="4"/>
        <v>0</v>
      </c>
      <c r="O78" s="164" t="s">
        <v>202</v>
      </c>
      <c r="P78" s="162">
        <v>0</v>
      </c>
      <c r="Q78" s="134">
        <f t="shared" si="5"/>
        <v>576</v>
      </c>
      <c r="R78" s="162">
        <v>593.14</v>
      </c>
      <c r="S78" s="162">
        <v>593.14</v>
      </c>
      <c r="T78" s="162">
        <v>593.14</v>
      </c>
      <c r="U78" s="162">
        <v>580.03</v>
      </c>
      <c r="V78" s="162">
        <v>580.03</v>
      </c>
      <c r="W78" s="162">
        <v>580.03</v>
      </c>
      <c r="X78" s="150">
        <v>320</v>
      </c>
      <c r="Y78" s="276">
        <v>2</v>
      </c>
      <c r="Z78" s="276">
        <v>87</v>
      </c>
      <c r="AA78" s="162">
        <v>3.6</v>
      </c>
      <c r="AB78" s="162">
        <v>156.6</v>
      </c>
      <c r="AC78" s="151">
        <v>0</v>
      </c>
      <c r="AD78" s="81"/>
      <c r="AE78" s="4">
        <f>IF(PRICING[[#This Row],[SKU]]=I77,AE77+1,1)</f>
        <v>1</v>
      </c>
      <c r="AF78" s="150" t="b">
        <v>0</v>
      </c>
      <c r="AJ78" s="165"/>
    </row>
    <row r="79" spans="1:36" hidden="1" x14ac:dyDescent="0.2">
      <c r="A79" s="80" t="s">
        <v>158</v>
      </c>
      <c r="B79" s="80" t="s">
        <v>172</v>
      </c>
      <c r="C79" s="80" t="s">
        <v>160</v>
      </c>
      <c r="D79" s="80" t="s">
        <v>185</v>
      </c>
      <c r="E79" s="80" t="s">
        <v>168</v>
      </c>
      <c r="F79" s="82" t="s">
        <v>163</v>
      </c>
      <c r="G79" s="83">
        <v>80847505</v>
      </c>
      <c r="H79" s="82"/>
      <c r="I79" s="87" t="s">
        <v>68</v>
      </c>
      <c r="J79" t="s">
        <v>271</v>
      </c>
      <c r="K79" t="s">
        <v>165</v>
      </c>
      <c r="L79" s="162">
        <v>473.6</v>
      </c>
      <c r="M79" s="162">
        <v>473.6</v>
      </c>
      <c r="N79" s="162">
        <f t="shared" si="4"/>
        <v>0</v>
      </c>
      <c r="O79" s="164" t="s">
        <v>272</v>
      </c>
      <c r="P79" s="162">
        <v>0</v>
      </c>
      <c r="Q79" s="132">
        <f t="shared" si="5"/>
        <v>473.6</v>
      </c>
      <c r="R79" s="162">
        <v>487.69</v>
      </c>
      <c r="S79" s="162">
        <v>487.69</v>
      </c>
      <c r="T79" s="162">
        <v>487.69</v>
      </c>
      <c r="U79" s="162">
        <v>476.92</v>
      </c>
      <c r="V79" s="162">
        <v>476.92</v>
      </c>
      <c r="W79" s="162">
        <v>476.92</v>
      </c>
      <c r="X79" s="150">
        <v>320</v>
      </c>
      <c r="Y79" s="276">
        <v>2</v>
      </c>
      <c r="Z79" s="276">
        <v>87</v>
      </c>
      <c r="AA79" s="162">
        <v>2.96</v>
      </c>
      <c r="AB79" s="162">
        <v>128.76</v>
      </c>
      <c r="AC79" s="151">
        <v>0</v>
      </c>
      <c r="AD79" s="2"/>
      <c r="AE79" s="4">
        <f>IF(PRICING[[#This Row],[SKU]]=I78,AE78+1,1)</f>
        <v>1</v>
      </c>
      <c r="AF79" s="150" t="b">
        <v>0</v>
      </c>
    </row>
    <row r="80" spans="1:36" hidden="1" x14ac:dyDescent="0.2">
      <c r="A80" s="80" t="s">
        <v>158</v>
      </c>
      <c r="B80" s="80" t="s">
        <v>172</v>
      </c>
      <c r="C80" s="80" t="s">
        <v>160</v>
      </c>
      <c r="D80" s="80" t="s">
        <v>185</v>
      </c>
      <c r="E80" s="80" t="s">
        <v>168</v>
      </c>
      <c r="F80" s="82" t="s">
        <v>163</v>
      </c>
      <c r="G80" s="83">
        <v>80847505</v>
      </c>
      <c r="H80" s="82"/>
      <c r="I80" s="87" t="s">
        <v>69</v>
      </c>
      <c r="J80" t="s">
        <v>271</v>
      </c>
      <c r="K80" t="s">
        <v>165</v>
      </c>
      <c r="L80" s="162">
        <v>409.6</v>
      </c>
      <c r="M80" s="162">
        <v>409.6</v>
      </c>
      <c r="N80" s="162">
        <f t="shared" si="4"/>
        <v>0</v>
      </c>
      <c r="O80" s="164" t="s">
        <v>273</v>
      </c>
      <c r="P80" s="162">
        <v>0</v>
      </c>
      <c r="Q80" s="132">
        <f t="shared" si="5"/>
        <v>409.6</v>
      </c>
      <c r="R80" s="162">
        <v>421.79</v>
      </c>
      <c r="S80" s="162">
        <v>421.79</v>
      </c>
      <c r="T80" s="162">
        <v>421.79</v>
      </c>
      <c r="U80" s="162">
        <v>412.47</v>
      </c>
      <c r="V80" s="162">
        <v>412.47</v>
      </c>
      <c r="W80" s="162">
        <v>412.47</v>
      </c>
      <c r="X80" s="150">
        <v>320</v>
      </c>
      <c r="Y80" s="276">
        <v>2</v>
      </c>
      <c r="Z80" s="276">
        <v>87</v>
      </c>
      <c r="AA80" s="162">
        <v>2.56</v>
      </c>
      <c r="AB80" s="162">
        <v>111.36</v>
      </c>
      <c r="AC80" s="151">
        <v>0</v>
      </c>
      <c r="AD80" s="2"/>
      <c r="AE80" s="4">
        <f>IF(PRICING[[#This Row],[SKU]]=I79,AE79+1,1)</f>
        <v>1</v>
      </c>
      <c r="AF80" s="150" t="b">
        <v>0</v>
      </c>
    </row>
    <row r="81" spans="1:32" hidden="1" x14ac:dyDescent="0.2">
      <c r="A81" s="80" t="s">
        <v>158</v>
      </c>
      <c r="B81" s="80" t="s">
        <v>159</v>
      </c>
      <c r="C81" s="80" t="s">
        <v>160</v>
      </c>
      <c r="D81" s="80" t="s">
        <v>185</v>
      </c>
      <c r="E81" s="80" t="s">
        <v>168</v>
      </c>
      <c r="F81" s="82" t="s">
        <v>163</v>
      </c>
      <c r="G81" s="83"/>
      <c r="H81" s="82"/>
      <c r="I81" s="87">
        <v>427709</v>
      </c>
      <c r="J81" s="82" t="s">
        <v>274</v>
      </c>
      <c r="K81" t="s">
        <v>275</v>
      </c>
      <c r="L81" s="162">
        <v>579.44000000000005</v>
      </c>
      <c r="M81" s="162">
        <v>579.44000000000005</v>
      </c>
      <c r="N81" s="162">
        <f t="shared" si="4"/>
        <v>0</v>
      </c>
      <c r="O81" s="164">
        <v>0</v>
      </c>
      <c r="P81" s="162">
        <v>0</v>
      </c>
      <c r="Q81" s="132">
        <f t="shared" si="5"/>
        <v>579.44000000000005</v>
      </c>
      <c r="R81" s="162">
        <v>0</v>
      </c>
      <c r="S81" s="162">
        <v>0</v>
      </c>
      <c r="T81" s="162">
        <v>0</v>
      </c>
      <c r="U81" s="162">
        <v>0</v>
      </c>
      <c r="V81" s="162">
        <v>0</v>
      </c>
      <c r="W81" s="162">
        <v>0</v>
      </c>
      <c r="X81" s="150">
        <v>10.6</v>
      </c>
      <c r="Y81" s="276">
        <v>0.24</v>
      </c>
      <c r="Z81" s="276">
        <v>10.6</v>
      </c>
      <c r="AA81" s="162">
        <v>13.3</v>
      </c>
      <c r="AB81" s="162">
        <v>579.44000000000005</v>
      </c>
      <c r="AC81" s="151">
        <v>0</v>
      </c>
      <c r="AD81" s="2"/>
      <c r="AE81" s="4">
        <f>IF(PRICING[[#This Row],[SKU]]=I80,AE80+1,1)</f>
        <v>1</v>
      </c>
      <c r="AF81" s="150" t="b">
        <v>0</v>
      </c>
    </row>
    <row r="82" spans="1:32" hidden="1" x14ac:dyDescent="0.2">
      <c r="A82" s="80" t="s">
        <v>210</v>
      </c>
      <c r="B82" s="80" t="s">
        <v>172</v>
      </c>
      <c r="C82" s="80" t="s">
        <v>160</v>
      </c>
      <c r="D82" s="80" t="s">
        <v>161</v>
      </c>
      <c r="E82" s="80" t="s">
        <v>162</v>
      </c>
      <c r="F82" s="82" t="s">
        <v>163</v>
      </c>
      <c r="G82" s="83"/>
      <c r="H82" s="82"/>
      <c r="I82" s="87">
        <v>11014245</v>
      </c>
      <c r="J82" s="80" t="s">
        <v>276</v>
      </c>
      <c r="K82" t="s">
        <v>277</v>
      </c>
      <c r="L82" s="162">
        <v>546</v>
      </c>
      <c r="M82" s="162">
        <v>546</v>
      </c>
      <c r="N82" s="162">
        <f t="shared" si="4"/>
        <v>0</v>
      </c>
      <c r="O82" s="164" t="s">
        <v>229</v>
      </c>
      <c r="P82" s="162">
        <v>5</v>
      </c>
      <c r="Q82" s="132">
        <f t="shared" si="5"/>
        <v>541</v>
      </c>
      <c r="R82" s="162">
        <v>562.24</v>
      </c>
      <c r="S82" s="162">
        <v>562.24</v>
      </c>
      <c r="T82" s="162">
        <v>557.24</v>
      </c>
      <c r="U82" s="162">
        <v>549.82000000000005</v>
      </c>
      <c r="V82" s="162">
        <v>549.82000000000005</v>
      </c>
      <c r="W82" s="162">
        <v>544.82000000000005</v>
      </c>
      <c r="X82" s="150">
        <v>35</v>
      </c>
      <c r="Y82" s="276">
        <v>0.6</v>
      </c>
      <c r="Z82" s="276">
        <v>26.14</v>
      </c>
      <c r="AA82" s="162">
        <v>9.27</v>
      </c>
      <c r="AB82" s="162">
        <v>403.99</v>
      </c>
      <c r="AC82" s="151">
        <v>9.1999999999999998E-3</v>
      </c>
      <c r="AD82" s="2"/>
      <c r="AE82" s="4">
        <f>IF(PRICING[[#This Row],[SKU]]=I81,AE81+1,1)</f>
        <v>1</v>
      </c>
      <c r="AF82" s="150" t="b">
        <v>1</v>
      </c>
    </row>
    <row r="83" spans="1:32" hidden="1" x14ac:dyDescent="0.2">
      <c r="A83" s="80" t="s">
        <v>210</v>
      </c>
      <c r="B83" s="80" t="s">
        <v>172</v>
      </c>
      <c r="C83" s="80" t="s">
        <v>160</v>
      </c>
      <c r="D83" s="80" t="s">
        <v>161</v>
      </c>
      <c r="E83" s="80" t="s">
        <v>162</v>
      </c>
      <c r="F83" s="82" t="s">
        <v>163</v>
      </c>
      <c r="G83" s="83"/>
      <c r="H83" s="82"/>
      <c r="I83" s="87">
        <v>11014245</v>
      </c>
      <c r="J83" s="80" t="s">
        <v>276</v>
      </c>
      <c r="K83" t="s">
        <v>277</v>
      </c>
      <c r="L83" s="162">
        <v>546</v>
      </c>
      <c r="M83" s="162">
        <v>546</v>
      </c>
      <c r="N83" s="162">
        <f t="shared" si="4"/>
        <v>0</v>
      </c>
      <c r="O83" s="164" t="s">
        <v>230</v>
      </c>
      <c r="P83" s="162">
        <v>25</v>
      </c>
      <c r="Q83" s="132">
        <f t="shared" si="5"/>
        <v>521</v>
      </c>
      <c r="R83" s="162">
        <v>562.24</v>
      </c>
      <c r="S83" s="162">
        <v>562.24</v>
      </c>
      <c r="T83" s="162">
        <v>537.24</v>
      </c>
      <c r="U83" s="162">
        <v>549.82000000000005</v>
      </c>
      <c r="V83" s="162">
        <v>549.82000000000005</v>
      </c>
      <c r="W83" s="162">
        <v>524.82000000000005</v>
      </c>
      <c r="X83" s="150">
        <v>35</v>
      </c>
      <c r="Y83" s="276">
        <v>0.6</v>
      </c>
      <c r="Z83" s="276">
        <v>26.14</v>
      </c>
      <c r="AA83" s="162">
        <v>8.93</v>
      </c>
      <c r="AB83" s="162">
        <v>389.05</v>
      </c>
      <c r="AC83" s="151">
        <v>4.58E-2</v>
      </c>
      <c r="AD83" s="2"/>
      <c r="AE83" s="4">
        <f>IF(PRICING[[#This Row],[SKU]]=I82,AE82+1,1)</f>
        <v>2</v>
      </c>
      <c r="AF83" s="150" t="b">
        <v>1</v>
      </c>
    </row>
    <row r="84" spans="1:32" hidden="1" x14ac:dyDescent="0.2">
      <c r="A84" s="80" t="s">
        <v>158</v>
      </c>
      <c r="B84" s="80" t="s">
        <v>172</v>
      </c>
      <c r="C84" s="80" t="s">
        <v>160</v>
      </c>
      <c r="D84" s="80" t="s">
        <v>161</v>
      </c>
      <c r="E84" s="80" t="s">
        <v>162</v>
      </c>
      <c r="F84" s="82" t="s">
        <v>163</v>
      </c>
      <c r="G84" s="93" t="s">
        <v>278</v>
      </c>
      <c r="H84" s="87" t="s">
        <v>279</v>
      </c>
      <c r="I84" s="87" t="s">
        <v>70</v>
      </c>
      <c r="J84" s="80" t="s">
        <v>280</v>
      </c>
      <c r="K84" s="149" t="s">
        <v>281</v>
      </c>
      <c r="L84" s="162">
        <v>224.35</v>
      </c>
      <c r="M84" s="162">
        <v>224.35</v>
      </c>
      <c r="N84" s="162">
        <f t="shared" si="4"/>
        <v>0</v>
      </c>
      <c r="O84" s="164" t="s">
        <v>282</v>
      </c>
      <c r="P84" s="162">
        <v>4</v>
      </c>
      <c r="Q84" s="132">
        <f t="shared" si="5"/>
        <v>220.35</v>
      </c>
      <c r="R84" s="162">
        <v>231.02</v>
      </c>
      <c r="S84" s="162">
        <v>231.02</v>
      </c>
      <c r="T84" s="162">
        <v>227.02</v>
      </c>
      <c r="U84" s="162">
        <v>225.92</v>
      </c>
      <c r="V84" s="162">
        <v>225.92</v>
      </c>
      <c r="W84" s="162">
        <v>221.92</v>
      </c>
      <c r="X84" s="150">
        <v>88</v>
      </c>
      <c r="Y84" s="276">
        <v>4</v>
      </c>
      <c r="Z84" s="276">
        <v>174.24</v>
      </c>
      <c r="AA84" s="162">
        <v>10.02</v>
      </c>
      <c r="AB84" s="162">
        <v>436.28</v>
      </c>
      <c r="AC84" s="151">
        <v>1.7899999999999999E-2</v>
      </c>
      <c r="AD84" s="2"/>
      <c r="AE84" s="4">
        <f>IF(PRICING[[#This Row],[SKU]]=I83,AE83+1,1)</f>
        <v>1</v>
      </c>
      <c r="AF84" s="150" t="b">
        <v>0</v>
      </c>
    </row>
    <row r="85" spans="1:32" hidden="1" x14ac:dyDescent="0.2">
      <c r="A85" s="80" t="s">
        <v>158</v>
      </c>
      <c r="B85" s="80" t="s">
        <v>172</v>
      </c>
      <c r="C85" s="80" t="s">
        <v>160</v>
      </c>
      <c r="D85" s="80" t="s">
        <v>161</v>
      </c>
      <c r="E85" s="80" t="s">
        <v>162</v>
      </c>
      <c r="F85" s="82" t="s">
        <v>163</v>
      </c>
      <c r="G85" s="93" t="s">
        <v>278</v>
      </c>
      <c r="H85" s="87" t="s">
        <v>279</v>
      </c>
      <c r="I85" s="87" t="s">
        <v>70</v>
      </c>
      <c r="J85" s="80" t="s">
        <v>280</v>
      </c>
      <c r="K85" s="149" t="s">
        <v>281</v>
      </c>
      <c r="L85" s="162">
        <v>224.35</v>
      </c>
      <c r="M85" s="162">
        <v>224.35</v>
      </c>
      <c r="N85" s="162">
        <f t="shared" si="4"/>
        <v>0</v>
      </c>
      <c r="O85" s="164" t="s">
        <v>283</v>
      </c>
      <c r="P85" s="162">
        <v>12</v>
      </c>
      <c r="Q85" s="132">
        <f t="shared" si="5"/>
        <v>212.35</v>
      </c>
      <c r="R85" s="162">
        <v>231.02</v>
      </c>
      <c r="S85" s="162">
        <v>231.02</v>
      </c>
      <c r="T85" s="162">
        <v>219.02</v>
      </c>
      <c r="U85" s="162">
        <v>225.92</v>
      </c>
      <c r="V85" s="162">
        <v>225.92</v>
      </c>
      <c r="W85" s="162">
        <v>213.92</v>
      </c>
      <c r="X85" s="150">
        <v>88</v>
      </c>
      <c r="Y85" s="276">
        <v>4</v>
      </c>
      <c r="Z85" s="276">
        <v>174.24</v>
      </c>
      <c r="AA85" s="162">
        <v>9.65</v>
      </c>
      <c r="AB85" s="162">
        <v>420.45</v>
      </c>
      <c r="AC85" s="151">
        <v>5.3499999999999999E-2</v>
      </c>
      <c r="AD85" s="2"/>
      <c r="AE85" s="4">
        <f>IF(PRICING[[#This Row],[SKU]]=I84,AE84+1,1)</f>
        <v>2</v>
      </c>
      <c r="AF85" s="150" t="b">
        <v>0</v>
      </c>
    </row>
    <row r="86" spans="1:32" hidden="1" x14ac:dyDescent="0.2">
      <c r="A86" s="80" t="s">
        <v>158</v>
      </c>
      <c r="B86" s="80" t="s">
        <v>172</v>
      </c>
      <c r="C86" s="80" t="s">
        <v>160</v>
      </c>
      <c r="D86" s="80" t="s">
        <v>161</v>
      </c>
      <c r="E86" s="80" t="s">
        <v>162</v>
      </c>
      <c r="F86" s="82" t="s">
        <v>190</v>
      </c>
      <c r="G86" s="93"/>
      <c r="H86" s="82"/>
      <c r="I86" t="s">
        <v>71</v>
      </c>
      <c r="J86" s="80" t="s">
        <v>284</v>
      </c>
      <c r="K86" t="s">
        <v>285</v>
      </c>
      <c r="L86" s="162">
        <v>235.2</v>
      </c>
      <c r="M86" s="162">
        <v>235.2</v>
      </c>
      <c r="N86" s="162">
        <f t="shared" si="4"/>
        <v>0</v>
      </c>
      <c r="O86" s="164" t="s">
        <v>282</v>
      </c>
      <c r="P86" s="162">
        <v>4</v>
      </c>
      <c r="Q86" s="132">
        <f t="shared" si="5"/>
        <v>231.2</v>
      </c>
      <c r="R86" s="162">
        <v>0</v>
      </c>
      <c r="S86" s="162">
        <v>0</v>
      </c>
      <c r="T86" s="162">
        <v>0</v>
      </c>
      <c r="U86" s="162">
        <v>237.16</v>
      </c>
      <c r="V86" s="162">
        <v>237.16</v>
      </c>
      <c r="W86" s="162">
        <v>233.16</v>
      </c>
      <c r="X86" s="150">
        <v>98</v>
      </c>
      <c r="Y86" s="276">
        <v>4.5</v>
      </c>
      <c r="Z86" s="276">
        <v>196.02</v>
      </c>
      <c r="AA86" s="162">
        <v>10.62</v>
      </c>
      <c r="AB86" s="162">
        <v>462.45</v>
      </c>
      <c r="AC86" s="151">
        <v>1.7000000000000001E-2</v>
      </c>
      <c r="AD86" s="2"/>
      <c r="AE86" s="4">
        <f>IF(PRICING[[#This Row],[SKU]]=I85,AE85+1,1)</f>
        <v>1</v>
      </c>
      <c r="AF86" s="150" t="b">
        <v>1</v>
      </c>
    </row>
    <row r="87" spans="1:32" hidden="1" x14ac:dyDescent="0.2">
      <c r="A87" s="80" t="s">
        <v>158</v>
      </c>
      <c r="B87" s="80" t="s">
        <v>172</v>
      </c>
      <c r="C87" s="80" t="s">
        <v>160</v>
      </c>
      <c r="D87" s="80" t="s">
        <v>161</v>
      </c>
      <c r="E87" s="80" t="s">
        <v>162</v>
      </c>
      <c r="F87" s="82" t="s">
        <v>190</v>
      </c>
      <c r="G87" s="93"/>
      <c r="H87" s="82"/>
      <c r="I87" t="s">
        <v>71</v>
      </c>
      <c r="J87" s="80" t="s">
        <v>284</v>
      </c>
      <c r="K87" t="s">
        <v>285</v>
      </c>
      <c r="L87" s="162">
        <v>235.2</v>
      </c>
      <c r="M87" s="162">
        <v>235.2</v>
      </c>
      <c r="N87" s="162">
        <f t="shared" si="4"/>
        <v>0</v>
      </c>
      <c r="O87" s="164" t="s">
        <v>283</v>
      </c>
      <c r="P87" s="162">
        <v>12</v>
      </c>
      <c r="Q87" s="132">
        <f t="shared" si="5"/>
        <v>223.2</v>
      </c>
      <c r="R87" s="162">
        <v>0</v>
      </c>
      <c r="S87" s="162">
        <v>0</v>
      </c>
      <c r="T87" s="162">
        <v>0</v>
      </c>
      <c r="U87" s="162">
        <v>237.16</v>
      </c>
      <c r="V87" s="162">
        <v>237.16</v>
      </c>
      <c r="W87" s="162">
        <v>225.16</v>
      </c>
      <c r="X87" s="150">
        <v>98</v>
      </c>
      <c r="Y87" s="276">
        <v>4.5</v>
      </c>
      <c r="Z87" s="276">
        <v>196.02</v>
      </c>
      <c r="AA87" s="162">
        <v>10.25</v>
      </c>
      <c r="AB87" s="162">
        <v>446.45</v>
      </c>
      <c r="AC87" s="151">
        <v>5.0999999999999997E-2</v>
      </c>
      <c r="AD87" s="2"/>
      <c r="AE87" s="4">
        <f>IF(PRICING[[#This Row],[SKU]]=I86,AE86+1,1)</f>
        <v>2</v>
      </c>
      <c r="AF87" s="150" t="b">
        <v>1</v>
      </c>
    </row>
    <row r="88" spans="1:32" hidden="1" x14ac:dyDescent="0.2">
      <c r="A88" s="80" t="s">
        <v>210</v>
      </c>
      <c r="B88" s="80" t="s">
        <v>159</v>
      </c>
      <c r="C88" s="80" t="s">
        <v>166</v>
      </c>
      <c r="D88" s="80" t="s">
        <v>161</v>
      </c>
      <c r="E88" s="80" t="s">
        <v>168</v>
      </c>
      <c r="F88" s="82" t="s">
        <v>163</v>
      </c>
      <c r="G88" s="83"/>
      <c r="H88" s="82"/>
      <c r="I88" s="87">
        <v>11008482</v>
      </c>
      <c r="J88" s="80" t="s">
        <v>286</v>
      </c>
      <c r="K88" s="149" t="s">
        <v>287</v>
      </c>
      <c r="L88" s="162">
        <v>164.73</v>
      </c>
      <c r="M88" s="162">
        <v>164.73</v>
      </c>
      <c r="N88" s="162">
        <f t="shared" si="4"/>
        <v>0</v>
      </c>
      <c r="O88" s="164">
        <v>0</v>
      </c>
      <c r="P88" s="162">
        <v>8</v>
      </c>
      <c r="Q88" s="132">
        <f t="shared" si="5"/>
        <v>156.72999999999999</v>
      </c>
      <c r="R88" s="162">
        <v>0</v>
      </c>
      <c r="S88" s="162">
        <v>0</v>
      </c>
      <c r="T88" s="162">
        <v>0</v>
      </c>
      <c r="U88" s="162">
        <v>165.88</v>
      </c>
      <c r="V88" s="162">
        <v>165.88</v>
      </c>
      <c r="W88" s="162">
        <v>157.88</v>
      </c>
      <c r="X88" s="150">
        <v>16</v>
      </c>
      <c r="Y88" s="276">
        <v>2</v>
      </c>
      <c r="Z88" s="276">
        <v>87</v>
      </c>
      <c r="AA88" s="162">
        <v>52.17</v>
      </c>
      <c r="AB88" s="162">
        <v>2272.59</v>
      </c>
      <c r="AC88" s="151">
        <v>4.8599999999999997E-2</v>
      </c>
      <c r="AD88" s="2"/>
      <c r="AE88" s="4">
        <f>IF(PRICING[[#This Row],[SKU]]=I87,AE87+1,1)</f>
        <v>1</v>
      </c>
      <c r="AF88" s="150" t="b">
        <v>0</v>
      </c>
    </row>
    <row r="89" spans="1:32" hidden="1" x14ac:dyDescent="0.2">
      <c r="A89" s="80" t="s">
        <v>210</v>
      </c>
      <c r="B89" s="80" t="s">
        <v>172</v>
      </c>
      <c r="C89" s="80" t="s">
        <v>166</v>
      </c>
      <c r="D89" s="80" t="s">
        <v>161</v>
      </c>
      <c r="E89" s="80" t="s">
        <v>168</v>
      </c>
      <c r="F89" s="82" t="s">
        <v>163</v>
      </c>
      <c r="G89" s="83"/>
      <c r="H89" s="82"/>
      <c r="I89" s="87">
        <v>11008522</v>
      </c>
      <c r="J89" s="80" t="s">
        <v>286</v>
      </c>
      <c r="K89" s="149" t="s">
        <v>288</v>
      </c>
      <c r="L89" s="162">
        <v>611.08000000000004</v>
      </c>
      <c r="M89" s="162">
        <v>611.08000000000004</v>
      </c>
      <c r="N89" s="162">
        <f t="shared" si="4"/>
        <v>0</v>
      </c>
      <c r="O89" s="164" t="s">
        <v>229</v>
      </c>
      <c r="P89" s="162">
        <v>0</v>
      </c>
      <c r="Q89" s="134">
        <f t="shared" si="5"/>
        <v>611.08000000000004</v>
      </c>
      <c r="R89" s="162">
        <v>0</v>
      </c>
      <c r="S89" s="162">
        <v>0</v>
      </c>
      <c r="T89" s="162">
        <v>0</v>
      </c>
      <c r="U89" s="162">
        <v>615.36</v>
      </c>
      <c r="V89" s="162">
        <v>615.36</v>
      </c>
      <c r="W89" s="162">
        <v>615.36</v>
      </c>
      <c r="X89" s="150">
        <v>64</v>
      </c>
      <c r="Y89" s="276">
        <v>2</v>
      </c>
      <c r="Z89" s="276">
        <v>87</v>
      </c>
      <c r="AA89" s="162">
        <v>76.28</v>
      </c>
      <c r="AB89" s="162">
        <v>3322.75</v>
      </c>
      <c r="AC89" s="151">
        <v>0</v>
      </c>
      <c r="AD89" s="81"/>
      <c r="AE89" s="4">
        <f>IF(PRICING[[#This Row],[SKU]]=I88,AE88+1,1)</f>
        <v>1</v>
      </c>
      <c r="AF89" s="150" t="b">
        <v>0</v>
      </c>
    </row>
    <row r="90" spans="1:32" hidden="1" x14ac:dyDescent="0.2">
      <c r="A90" s="80" t="s">
        <v>210</v>
      </c>
      <c r="B90" s="80" t="s">
        <v>172</v>
      </c>
      <c r="C90" s="80" t="s">
        <v>166</v>
      </c>
      <c r="D90" s="80" t="s">
        <v>161</v>
      </c>
      <c r="E90" s="80" t="s">
        <v>168</v>
      </c>
      <c r="F90" s="82" t="s">
        <v>163</v>
      </c>
      <c r="G90" s="83"/>
      <c r="H90" s="82"/>
      <c r="I90" s="87">
        <v>11008522</v>
      </c>
      <c r="J90" s="80" t="s">
        <v>286</v>
      </c>
      <c r="K90" s="149" t="s">
        <v>288</v>
      </c>
      <c r="L90" s="162">
        <v>611.08000000000004</v>
      </c>
      <c r="M90" s="162">
        <v>611.08000000000004</v>
      </c>
      <c r="N90" s="162">
        <f t="shared" si="4"/>
        <v>0</v>
      </c>
      <c r="O90" s="164" t="s">
        <v>230</v>
      </c>
      <c r="P90" s="162">
        <v>32</v>
      </c>
      <c r="Q90" s="132">
        <f t="shared" si="5"/>
        <v>579.08000000000004</v>
      </c>
      <c r="R90" s="162">
        <v>0</v>
      </c>
      <c r="S90" s="162">
        <v>0</v>
      </c>
      <c r="T90" s="162">
        <v>0</v>
      </c>
      <c r="U90" s="162">
        <v>615.36</v>
      </c>
      <c r="V90" s="162">
        <v>615.36</v>
      </c>
      <c r="W90" s="162">
        <v>583.36</v>
      </c>
      <c r="X90" s="150">
        <v>64</v>
      </c>
      <c r="Y90" s="276">
        <v>2</v>
      </c>
      <c r="Z90" s="276">
        <v>87</v>
      </c>
      <c r="AA90" s="162">
        <v>72.290000000000006</v>
      </c>
      <c r="AB90" s="162">
        <v>3148.75</v>
      </c>
      <c r="AC90" s="151">
        <v>5.2400000000000002E-2</v>
      </c>
      <c r="AD90" s="2"/>
      <c r="AE90" s="4">
        <f>IF(PRICING[[#This Row],[SKU]]=I89,AE89+1,1)</f>
        <v>2</v>
      </c>
      <c r="AF90" s="150" t="b">
        <v>0</v>
      </c>
    </row>
    <row r="91" spans="1:32" hidden="1" x14ac:dyDescent="0.2">
      <c r="A91" s="80" t="s">
        <v>210</v>
      </c>
      <c r="B91" s="80" t="s">
        <v>159</v>
      </c>
      <c r="C91" s="80" t="s">
        <v>166</v>
      </c>
      <c r="D91" s="80" t="s">
        <v>161</v>
      </c>
      <c r="E91" s="80" t="s">
        <v>168</v>
      </c>
      <c r="F91" s="82" t="s">
        <v>163</v>
      </c>
      <c r="G91" s="83"/>
      <c r="H91" s="82"/>
      <c r="I91" s="87">
        <v>11008369</v>
      </c>
      <c r="J91" s="80" t="s">
        <v>289</v>
      </c>
      <c r="K91" t="s">
        <v>290</v>
      </c>
      <c r="L91" s="162">
        <v>97.96</v>
      </c>
      <c r="M91" s="162">
        <v>97.96</v>
      </c>
      <c r="N91" s="162">
        <f t="shared" si="4"/>
        <v>0</v>
      </c>
      <c r="O91" s="164">
        <v>0</v>
      </c>
      <c r="P91" s="162">
        <v>8</v>
      </c>
      <c r="Q91" s="132">
        <f t="shared" si="5"/>
        <v>89.96</v>
      </c>
      <c r="R91" s="162">
        <v>0</v>
      </c>
      <c r="S91" s="162">
        <v>0</v>
      </c>
      <c r="T91" s="162">
        <v>0</v>
      </c>
      <c r="U91" s="162">
        <v>98.65</v>
      </c>
      <c r="V91" s="162">
        <v>98.65</v>
      </c>
      <c r="W91" s="162">
        <v>90.65</v>
      </c>
      <c r="X91" s="150">
        <v>320</v>
      </c>
      <c r="Y91" s="276">
        <v>3.97</v>
      </c>
      <c r="Z91" s="276">
        <v>173</v>
      </c>
      <c r="AA91" s="162">
        <v>1.1200000000000001</v>
      </c>
      <c r="AB91" s="162">
        <v>48.63</v>
      </c>
      <c r="AC91" s="151">
        <v>8.1699999999999995E-2</v>
      </c>
      <c r="AD91" s="2"/>
      <c r="AE91" s="4">
        <f>IF(PRICING[[#This Row],[SKU]]=I90,AE90+1,1)</f>
        <v>1</v>
      </c>
      <c r="AF91" s="150" t="b">
        <v>0</v>
      </c>
    </row>
    <row r="92" spans="1:32" hidden="1" x14ac:dyDescent="0.2">
      <c r="A92" s="80" t="s">
        <v>210</v>
      </c>
      <c r="B92" s="80" t="s">
        <v>172</v>
      </c>
      <c r="C92" s="80" t="s">
        <v>166</v>
      </c>
      <c r="D92" s="80" t="s">
        <v>161</v>
      </c>
      <c r="E92" s="80" t="s">
        <v>168</v>
      </c>
      <c r="F92" s="82" t="s">
        <v>163</v>
      </c>
      <c r="H92" s="82"/>
      <c r="I92" s="87">
        <v>11013862</v>
      </c>
      <c r="J92" s="80" t="s">
        <v>289</v>
      </c>
      <c r="K92" t="s">
        <v>165</v>
      </c>
      <c r="L92" s="162">
        <v>268.8</v>
      </c>
      <c r="M92" s="162">
        <v>268.8</v>
      </c>
      <c r="N92" s="162">
        <f t="shared" si="4"/>
        <v>0</v>
      </c>
      <c r="O92" s="164" t="s">
        <v>189</v>
      </c>
      <c r="P92" s="162">
        <v>10</v>
      </c>
      <c r="Q92" s="132">
        <f t="shared" si="5"/>
        <v>258.8</v>
      </c>
      <c r="R92" s="162">
        <v>0</v>
      </c>
      <c r="S92" s="162">
        <v>0</v>
      </c>
      <c r="T92" s="162">
        <v>0</v>
      </c>
      <c r="U92" s="162">
        <v>270.68</v>
      </c>
      <c r="V92" s="162">
        <v>270.68</v>
      </c>
      <c r="W92" s="162">
        <v>260.68</v>
      </c>
      <c r="X92" s="150">
        <v>320</v>
      </c>
      <c r="Y92" s="276">
        <v>3.97</v>
      </c>
      <c r="Z92" s="276">
        <v>173</v>
      </c>
      <c r="AA92" s="162">
        <v>3.21</v>
      </c>
      <c r="AB92" s="162">
        <v>139.91</v>
      </c>
      <c r="AC92" s="151">
        <v>3.7199999999999997E-2</v>
      </c>
      <c r="AD92" s="2"/>
      <c r="AE92" s="4">
        <f>IF(PRICING[[#This Row],[SKU]]=I91,AE91+1,1)</f>
        <v>1</v>
      </c>
      <c r="AF92" s="150" t="b">
        <v>0</v>
      </c>
    </row>
    <row r="93" spans="1:32" hidden="1" x14ac:dyDescent="0.2">
      <c r="A93" s="80" t="s">
        <v>158</v>
      </c>
      <c r="B93" s="80" t="s">
        <v>172</v>
      </c>
      <c r="C93" s="80" t="s">
        <v>166</v>
      </c>
      <c r="D93" s="80" t="s">
        <v>185</v>
      </c>
      <c r="E93" s="80" t="s">
        <v>168</v>
      </c>
      <c r="F93" s="82" t="s">
        <v>163</v>
      </c>
      <c r="G93" s="93"/>
      <c r="H93" s="82"/>
      <c r="I93" s="87" t="s">
        <v>72</v>
      </c>
      <c r="J93" s="80" t="s">
        <v>291</v>
      </c>
      <c r="K93" t="s">
        <v>292</v>
      </c>
      <c r="L93" s="162">
        <v>340.02</v>
      </c>
      <c r="M93" s="162">
        <v>340.02</v>
      </c>
      <c r="N93" s="162">
        <f t="shared" si="4"/>
        <v>0</v>
      </c>
      <c r="O93" s="164" t="s">
        <v>293</v>
      </c>
      <c r="P93" s="162">
        <v>0</v>
      </c>
      <c r="Q93" s="132">
        <f t="shared" si="5"/>
        <v>340.02</v>
      </c>
      <c r="R93" s="162">
        <v>350.14</v>
      </c>
      <c r="S93" s="162">
        <v>350.14</v>
      </c>
      <c r="T93" s="162">
        <v>350.14</v>
      </c>
      <c r="U93" s="162">
        <v>342.4</v>
      </c>
      <c r="V93" s="162">
        <v>342.4</v>
      </c>
      <c r="W93" s="162">
        <v>342.4</v>
      </c>
      <c r="X93" s="150">
        <v>18</v>
      </c>
      <c r="Y93" s="276">
        <v>0.14000000000000001</v>
      </c>
      <c r="Z93" s="276">
        <v>6</v>
      </c>
      <c r="AA93" s="162">
        <v>2.6</v>
      </c>
      <c r="AB93" s="162">
        <v>113.34</v>
      </c>
      <c r="AC93" s="151">
        <v>0</v>
      </c>
      <c r="AD93" s="2"/>
      <c r="AE93" s="4">
        <f>IF(PRICING[[#This Row],[SKU]]=I92,AE92+1,1)</f>
        <v>1</v>
      </c>
      <c r="AF93" s="150" t="b">
        <v>0</v>
      </c>
    </row>
    <row r="94" spans="1:32" hidden="1" x14ac:dyDescent="0.2">
      <c r="A94" s="80" t="s">
        <v>158</v>
      </c>
      <c r="B94" s="80" t="s">
        <v>172</v>
      </c>
      <c r="C94" s="80" t="s">
        <v>166</v>
      </c>
      <c r="D94" s="80" t="s">
        <v>185</v>
      </c>
      <c r="E94" s="80" t="s">
        <v>168</v>
      </c>
      <c r="F94" s="82" t="s">
        <v>190</v>
      </c>
      <c r="G94" s="93" t="s">
        <v>294</v>
      </c>
      <c r="H94" s="82"/>
      <c r="I94" s="87" t="s">
        <v>73</v>
      </c>
      <c r="J94" s="80" t="s">
        <v>291</v>
      </c>
      <c r="K94" t="s">
        <v>170</v>
      </c>
      <c r="L94" s="162">
        <v>2232.3200000000002</v>
      </c>
      <c r="M94" s="162">
        <v>2143.0300000000002</v>
      </c>
      <c r="N94" s="162">
        <f t="shared" si="4"/>
        <v>89.289999999999964</v>
      </c>
      <c r="O94" s="164" t="s">
        <v>293</v>
      </c>
      <c r="P94" s="162">
        <v>101</v>
      </c>
      <c r="Q94" s="134">
        <f t="shared" si="5"/>
        <v>2042.0300000000002</v>
      </c>
      <c r="R94" s="162">
        <v>2298.73</v>
      </c>
      <c r="S94" s="162">
        <v>2206.79</v>
      </c>
      <c r="T94" s="162">
        <v>2105.79</v>
      </c>
      <c r="U94" s="162">
        <v>2247.9499999999998</v>
      </c>
      <c r="V94" s="162">
        <v>2158.0300000000002</v>
      </c>
      <c r="W94" s="162">
        <v>2057.0300000000002</v>
      </c>
      <c r="X94" s="150">
        <v>128</v>
      </c>
      <c r="Y94" s="276">
        <v>0.14000000000000001</v>
      </c>
      <c r="Z94" s="276">
        <v>6</v>
      </c>
      <c r="AA94" s="162">
        <v>2.2000000000000002</v>
      </c>
      <c r="AB94" s="162">
        <v>95.72</v>
      </c>
      <c r="AC94" s="151">
        <v>8.5199999999999998E-2</v>
      </c>
      <c r="AD94" s="81"/>
      <c r="AE94" s="4">
        <f>IF(PRICING[[#This Row],[SKU]]=I93,AE93+1,1)</f>
        <v>1</v>
      </c>
      <c r="AF94" s="150" t="b">
        <v>1</v>
      </c>
    </row>
    <row r="95" spans="1:32" hidden="1" x14ac:dyDescent="0.2">
      <c r="A95" s="80" t="s">
        <v>158</v>
      </c>
      <c r="B95" s="80" t="s">
        <v>172</v>
      </c>
      <c r="C95" s="80" t="s">
        <v>166</v>
      </c>
      <c r="D95" s="80" t="s">
        <v>185</v>
      </c>
      <c r="E95" s="80" t="s">
        <v>168</v>
      </c>
      <c r="F95" s="82" t="s">
        <v>190</v>
      </c>
      <c r="G95" s="93" t="s">
        <v>294</v>
      </c>
      <c r="H95" s="82"/>
      <c r="I95" s="87" t="s">
        <v>74</v>
      </c>
      <c r="J95" s="80" t="s">
        <v>291</v>
      </c>
      <c r="K95" t="s">
        <v>170</v>
      </c>
      <c r="L95" s="162">
        <v>2232.3200000000002</v>
      </c>
      <c r="M95" s="162">
        <v>2098.38</v>
      </c>
      <c r="N95" s="162">
        <f t="shared" si="4"/>
        <v>133.94000000000005</v>
      </c>
      <c r="O95" s="164" t="s">
        <v>295</v>
      </c>
      <c r="P95" s="162">
        <v>115</v>
      </c>
      <c r="Q95" s="132">
        <f t="shared" si="5"/>
        <v>1983.38</v>
      </c>
      <c r="R95" s="162">
        <v>2298.73</v>
      </c>
      <c r="S95" s="162">
        <v>2160.81</v>
      </c>
      <c r="T95" s="162">
        <v>2045.81</v>
      </c>
      <c r="U95" s="162">
        <v>2247.9499999999998</v>
      </c>
      <c r="V95" s="162">
        <v>2113.0700000000002</v>
      </c>
      <c r="W95" s="162">
        <v>1998.07</v>
      </c>
      <c r="X95" s="150">
        <v>128</v>
      </c>
      <c r="Y95" s="276">
        <v>0.14000000000000001</v>
      </c>
      <c r="Z95" s="276">
        <v>6</v>
      </c>
      <c r="AA95" s="162">
        <v>2.13</v>
      </c>
      <c r="AB95" s="162">
        <v>92.97</v>
      </c>
      <c r="AC95" s="151">
        <v>0.1115</v>
      </c>
      <c r="AD95" s="2"/>
      <c r="AE95" s="4">
        <f>IF(PRICING[[#This Row],[SKU]]=I94,AE94+1,1)</f>
        <v>1</v>
      </c>
      <c r="AF95" s="150" t="b">
        <v>1</v>
      </c>
    </row>
    <row r="96" spans="1:32" hidden="1" x14ac:dyDescent="0.2">
      <c r="A96" s="80" t="s">
        <v>158</v>
      </c>
      <c r="B96" s="80" t="s">
        <v>172</v>
      </c>
      <c r="C96" s="80" t="s">
        <v>166</v>
      </c>
      <c r="D96" s="80" t="s">
        <v>185</v>
      </c>
      <c r="E96" s="80" t="s">
        <v>168</v>
      </c>
      <c r="F96" s="82" t="s">
        <v>190</v>
      </c>
      <c r="G96" s="93" t="s">
        <v>294</v>
      </c>
      <c r="H96" s="82"/>
      <c r="I96" s="87" t="s">
        <v>75</v>
      </c>
      <c r="J96" s="80" t="s">
        <v>291</v>
      </c>
      <c r="K96" t="s">
        <v>170</v>
      </c>
      <c r="L96" s="162">
        <v>1916.16</v>
      </c>
      <c r="M96" s="162">
        <v>1839.51</v>
      </c>
      <c r="N96" s="162">
        <f t="shared" si="4"/>
        <v>76.650000000000091</v>
      </c>
      <c r="O96" s="164" t="s">
        <v>296</v>
      </c>
      <c r="P96" s="162">
        <v>128</v>
      </c>
      <c r="Q96" s="132">
        <f t="shared" si="5"/>
        <v>1711.51</v>
      </c>
      <c r="R96" s="162">
        <v>1973.17</v>
      </c>
      <c r="S96" s="162">
        <v>1894.24</v>
      </c>
      <c r="T96" s="162">
        <v>1766.24</v>
      </c>
      <c r="U96" s="162">
        <v>1929.57</v>
      </c>
      <c r="V96" s="162">
        <v>1852.39</v>
      </c>
      <c r="W96" s="162">
        <v>1724.39</v>
      </c>
      <c r="X96" s="150">
        <v>128</v>
      </c>
      <c r="Y96" s="276">
        <v>0.14000000000000001</v>
      </c>
      <c r="Z96" s="276">
        <v>6</v>
      </c>
      <c r="AA96" s="162">
        <v>1.84</v>
      </c>
      <c r="AB96" s="162">
        <v>80.23</v>
      </c>
      <c r="AC96" s="151">
        <v>0.10680000000000001</v>
      </c>
      <c r="AD96" s="2"/>
      <c r="AE96" s="4">
        <f>IF(PRICING[[#This Row],[SKU]]=I95,AE95+1,1)</f>
        <v>1</v>
      </c>
      <c r="AF96" s="150" t="b">
        <v>1</v>
      </c>
    </row>
    <row r="97" spans="1:32" hidden="1" x14ac:dyDescent="0.2">
      <c r="A97" s="80" t="s">
        <v>158</v>
      </c>
      <c r="B97" s="80" t="s">
        <v>172</v>
      </c>
      <c r="C97" s="80" t="s">
        <v>166</v>
      </c>
      <c r="D97" s="80" t="s">
        <v>185</v>
      </c>
      <c r="E97" s="80" t="s">
        <v>168</v>
      </c>
      <c r="F97" t="s">
        <v>297</v>
      </c>
      <c r="G97">
        <v>86775387</v>
      </c>
      <c r="I97" s="87" t="s">
        <v>76</v>
      </c>
      <c r="J97" s="80" t="s">
        <v>291</v>
      </c>
      <c r="K97" t="s">
        <v>170</v>
      </c>
      <c r="L97" s="162">
        <v>1916.16</v>
      </c>
      <c r="M97" s="162">
        <v>1820.35</v>
      </c>
      <c r="N97" s="162">
        <f t="shared" si="4"/>
        <v>95.810000000000173</v>
      </c>
      <c r="O97" s="279" t="s">
        <v>298</v>
      </c>
      <c r="P97" s="162">
        <v>328</v>
      </c>
      <c r="Q97" s="132">
        <f t="shared" si="5"/>
        <v>1492.35</v>
      </c>
      <c r="R97" s="273">
        <v>1973.17</v>
      </c>
      <c r="S97" s="273">
        <v>1874.51</v>
      </c>
      <c r="T97" s="274">
        <v>1546.51</v>
      </c>
      <c r="U97" s="273">
        <v>1929.57</v>
      </c>
      <c r="V97" s="273">
        <v>1833.09</v>
      </c>
      <c r="W97" s="274">
        <v>1505.09</v>
      </c>
      <c r="X97" s="275">
        <v>128</v>
      </c>
      <c r="Y97" s="276">
        <v>0.14000000000000001</v>
      </c>
      <c r="Z97" s="276">
        <v>6</v>
      </c>
      <c r="AA97" s="285">
        <v>1.61</v>
      </c>
      <c r="AB97" s="285">
        <v>69.95</v>
      </c>
      <c r="AC97" s="282">
        <v>0.22120000000000001</v>
      </c>
      <c r="AD97" s="2"/>
      <c r="AE97" s="4">
        <f>IF(PRICING[[#This Row],[SKU]]=I96,AE96+1,1)</f>
        <v>1</v>
      </c>
      <c r="AF97" s="150" t="b">
        <v>1</v>
      </c>
    </row>
    <row r="98" spans="1:32" hidden="1" x14ac:dyDescent="0.2">
      <c r="A98" s="80" t="s">
        <v>158</v>
      </c>
      <c r="B98" s="80" t="s">
        <v>172</v>
      </c>
      <c r="C98" s="80" t="s">
        <v>166</v>
      </c>
      <c r="D98" s="80" t="s">
        <v>185</v>
      </c>
      <c r="E98" s="80" t="s">
        <v>168</v>
      </c>
      <c r="F98" s="82" t="s">
        <v>190</v>
      </c>
      <c r="G98" s="93" t="s">
        <v>299</v>
      </c>
      <c r="H98" s="82"/>
      <c r="I98" s="87" t="s">
        <v>77</v>
      </c>
      <c r="J98" s="80" t="s">
        <v>300</v>
      </c>
      <c r="K98" s="149" t="s">
        <v>198</v>
      </c>
      <c r="L98" s="162">
        <v>139</v>
      </c>
      <c r="M98" s="162">
        <v>139</v>
      </c>
      <c r="N98" s="162">
        <f t="shared" ref="N98:N114" si="6">L98-M98</f>
        <v>0</v>
      </c>
      <c r="O98" s="164" t="s">
        <v>301</v>
      </c>
      <c r="P98" s="162">
        <v>0</v>
      </c>
      <c r="Q98" s="132">
        <f t="shared" ref="Q98:Q114" si="7">M98-P98</f>
        <v>139</v>
      </c>
      <c r="R98" s="162">
        <v>143.13999999999999</v>
      </c>
      <c r="S98" s="162">
        <v>143.13999999999999</v>
      </c>
      <c r="T98" s="162">
        <v>143.13999999999999</v>
      </c>
      <c r="U98" s="162">
        <v>139.97</v>
      </c>
      <c r="V98" s="162">
        <v>139.97</v>
      </c>
      <c r="W98" s="162">
        <v>139.97</v>
      </c>
      <c r="X98" s="150">
        <v>50</v>
      </c>
      <c r="Y98" s="276">
        <v>3.44</v>
      </c>
      <c r="Z98" s="276">
        <v>149.85</v>
      </c>
      <c r="AA98" s="162">
        <v>9.56</v>
      </c>
      <c r="AB98" s="162">
        <v>416.57</v>
      </c>
      <c r="AC98" s="151">
        <v>0</v>
      </c>
      <c r="AD98" s="2"/>
      <c r="AE98" s="4">
        <f>IF(PRICING[[#This Row],[SKU]]=I97,AE97+1,1)</f>
        <v>1</v>
      </c>
      <c r="AF98" s="150" t="b">
        <v>1</v>
      </c>
    </row>
    <row r="99" spans="1:32" hidden="1" x14ac:dyDescent="0.2">
      <c r="A99" s="80" t="s">
        <v>158</v>
      </c>
      <c r="B99" s="80" t="s">
        <v>172</v>
      </c>
      <c r="C99" s="80" t="s">
        <v>166</v>
      </c>
      <c r="D99" s="80" t="s">
        <v>185</v>
      </c>
      <c r="E99" s="80" t="s">
        <v>168</v>
      </c>
      <c r="F99" s="80" t="s">
        <v>190</v>
      </c>
      <c r="G99" s="93" t="s">
        <v>299</v>
      </c>
      <c r="H99" s="82"/>
      <c r="I99" s="87" t="s">
        <v>77</v>
      </c>
      <c r="J99" s="80" t="s">
        <v>300</v>
      </c>
      <c r="K99" s="149" t="s">
        <v>198</v>
      </c>
      <c r="L99" s="162">
        <v>139</v>
      </c>
      <c r="M99" s="162">
        <v>139</v>
      </c>
      <c r="N99" s="162">
        <f t="shared" si="6"/>
        <v>0</v>
      </c>
      <c r="O99" s="164" t="s">
        <v>273</v>
      </c>
      <c r="P99" s="162">
        <v>20</v>
      </c>
      <c r="Q99" s="132">
        <f t="shared" si="7"/>
        <v>119</v>
      </c>
      <c r="R99" s="162">
        <v>143.13999999999999</v>
      </c>
      <c r="S99" s="162">
        <v>143.13999999999999</v>
      </c>
      <c r="T99" s="162">
        <v>123.14</v>
      </c>
      <c r="U99" s="162">
        <v>139.97</v>
      </c>
      <c r="V99" s="162">
        <v>139.97</v>
      </c>
      <c r="W99" s="162">
        <v>119.97</v>
      </c>
      <c r="X99" s="150">
        <v>50</v>
      </c>
      <c r="Y99" s="276">
        <v>3.44</v>
      </c>
      <c r="Z99" s="276">
        <v>149.85</v>
      </c>
      <c r="AA99" s="162">
        <v>8.19</v>
      </c>
      <c r="AB99" s="162">
        <v>356.63</v>
      </c>
      <c r="AC99" s="151">
        <v>0.1439</v>
      </c>
      <c r="AD99" s="2"/>
      <c r="AE99" s="4">
        <f>IF(PRICING[[#This Row],[SKU]]=I98,AE98+1,1)</f>
        <v>2</v>
      </c>
      <c r="AF99" s="150" t="b">
        <v>1</v>
      </c>
    </row>
    <row r="100" spans="1:32" hidden="1" x14ac:dyDescent="0.2">
      <c r="A100" s="80" t="s">
        <v>158</v>
      </c>
      <c r="B100" s="80" t="s">
        <v>172</v>
      </c>
      <c r="C100" s="80" t="s">
        <v>160</v>
      </c>
      <c r="D100" s="80" t="s">
        <v>161</v>
      </c>
      <c r="E100" s="80" t="s">
        <v>162</v>
      </c>
      <c r="F100" s="82" t="s">
        <v>163</v>
      </c>
      <c r="G100" s="90" t="s">
        <v>302</v>
      </c>
      <c r="H100" s="82"/>
      <c r="I100" s="87" t="s">
        <v>78</v>
      </c>
      <c r="J100" s="80" t="s">
        <v>303</v>
      </c>
      <c r="K100" t="s">
        <v>165</v>
      </c>
      <c r="L100" s="162">
        <v>1030.4000000000001</v>
      </c>
      <c r="M100" s="162">
        <v>1030.4000000000001</v>
      </c>
      <c r="N100" s="162">
        <f t="shared" si="6"/>
        <v>0</v>
      </c>
      <c r="O100" s="164" t="s">
        <v>233</v>
      </c>
      <c r="P100" s="162">
        <v>0</v>
      </c>
      <c r="Q100" s="132">
        <f t="shared" si="7"/>
        <v>1030.4000000000001</v>
      </c>
      <c r="R100" s="162">
        <v>1061.05</v>
      </c>
      <c r="S100" s="162">
        <v>1061.05</v>
      </c>
      <c r="T100" s="162">
        <v>1061.05</v>
      </c>
      <c r="U100" s="162">
        <v>1037.6099999999999</v>
      </c>
      <c r="V100" s="162">
        <v>1037.6099999999999</v>
      </c>
      <c r="W100" s="162">
        <v>1037.6099999999999</v>
      </c>
      <c r="X100" s="150">
        <v>320</v>
      </c>
      <c r="Y100" s="276">
        <v>1.5</v>
      </c>
      <c r="Z100" s="276">
        <v>65.34</v>
      </c>
      <c r="AA100" s="162">
        <v>4.83</v>
      </c>
      <c r="AB100" s="162">
        <v>210.39</v>
      </c>
      <c r="AC100" s="151">
        <v>0</v>
      </c>
      <c r="AD100" s="2"/>
      <c r="AE100" s="4">
        <f>IF(PRICING[[#This Row],[SKU]]=I99,AE99+1,1)</f>
        <v>1</v>
      </c>
      <c r="AF100" s="150" t="b">
        <v>0</v>
      </c>
    </row>
    <row r="101" spans="1:32" hidden="1" x14ac:dyDescent="0.2">
      <c r="A101" s="80" t="s">
        <v>158</v>
      </c>
      <c r="B101" s="80" t="s">
        <v>172</v>
      </c>
      <c r="C101" s="80" t="s">
        <v>160</v>
      </c>
      <c r="D101" s="80" t="s">
        <v>161</v>
      </c>
      <c r="E101" s="80" t="s">
        <v>162</v>
      </c>
      <c r="F101" s="82" t="s">
        <v>163</v>
      </c>
      <c r="G101" s="90" t="s">
        <v>302</v>
      </c>
      <c r="H101" s="82"/>
      <c r="I101" s="87" t="s">
        <v>78</v>
      </c>
      <c r="J101" s="80" t="s">
        <v>303</v>
      </c>
      <c r="K101" t="s">
        <v>165</v>
      </c>
      <c r="L101" s="162">
        <v>1030.4000000000001</v>
      </c>
      <c r="M101" s="162">
        <v>1030.4000000000001</v>
      </c>
      <c r="N101" s="162">
        <f t="shared" si="6"/>
        <v>0</v>
      </c>
      <c r="O101" s="164" t="s">
        <v>234</v>
      </c>
      <c r="P101" s="162">
        <v>100</v>
      </c>
      <c r="Q101" s="132">
        <f t="shared" si="7"/>
        <v>930.40000000000009</v>
      </c>
      <c r="R101" s="162">
        <v>1061.05</v>
      </c>
      <c r="S101" s="162">
        <v>1061.05</v>
      </c>
      <c r="T101" s="162">
        <v>961.05</v>
      </c>
      <c r="U101" s="162">
        <v>1037.6099999999999</v>
      </c>
      <c r="V101" s="162">
        <v>1037.6099999999999</v>
      </c>
      <c r="W101" s="162">
        <v>937.61</v>
      </c>
      <c r="X101" s="150">
        <v>320</v>
      </c>
      <c r="Y101" s="276">
        <v>1.5</v>
      </c>
      <c r="Z101" s="276">
        <v>65.34</v>
      </c>
      <c r="AA101" s="162">
        <v>4.3600000000000003</v>
      </c>
      <c r="AB101" s="162">
        <v>189.98</v>
      </c>
      <c r="AC101" s="151">
        <v>9.7000000000000003E-2</v>
      </c>
      <c r="AD101" s="2"/>
      <c r="AE101" s="4">
        <f>IF(PRICING[[#This Row],[SKU]]=I100,AE100+1,1)</f>
        <v>2</v>
      </c>
      <c r="AF101" s="150" t="b">
        <v>0</v>
      </c>
    </row>
    <row r="102" spans="1:32" x14ac:dyDescent="0.2">
      <c r="A102" s="80" t="s">
        <v>210</v>
      </c>
      <c r="B102" s="80" t="s">
        <v>172</v>
      </c>
      <c r="C102" s="80" t="s">
        <v>160</v>
      </c>
      <c r="D102" s="80" t="s">
        <v>161</v>
      </c>
      <c r="E102" s="80" t="s">
        <v>162</v>
      </c>
      <c r="F102" s="82" t="s">
        <v>163</v>
      </c>
      <c r="G102" s="83"/>
      <c r="H102" s="82"/>
      <c r="I102" s="87">
        <v>11015981</v>
      </c>
      <c r="J102" s="80" t="s">
        <v>304</v>
      </c>
      <c r="K102" t="s">
        <v>178</v>
      </c>
      <c r="L102" s="162">
        <v>840.32</v>
      </c>
      <c r="M102" s="162">
        <v>380.16</v>
      </c>
      <c r="N102" s="162">
        <f t="shared" si="6"/>
        <v>460.16</v>
      </c>
      <c r="O102" s="164" t="s">
        <v>208</v>
      </c>
      <c r="P102" s="162">
        <v>32</v>
      </c>
      <c r="Q102" s="132">
        <f t="shared" si="7"/>
        <v>348.16</v>
      </c>
      <c r="R102" s="162">
        <v>0</v>
      </c>
      <c r="S102" s="162">
        <v>0</v>
      </c>
      <c r="T102" s="162">
        <v>0</v>
      </c>
      <c r="U102" s="162">
        <v>846.2</v>
      </c>
      <c r="V102" s="162">
        <v>382.82</v>
      </c>
      <c r="W102" s="162">
        <v>305.20080000000002</v>
      </c>
      <c r="X102" s="150">
        <v>64</v>
      </c>
      <c r="Y102" s="276">
        <v>0.7</v>
      </c>
      <c r="Z102" s="276">
        <v>30.49</v>
      </c>
      <c r="AA102" s="162">
        <v>3.81</v>
      </c>
      <c r="AB102" s="162">
        <v>165.88</v>
      </c>
      <c r="AC102" s="151">
        <v>0.53569999999999995</v>
      </c>
      <c r="AD102" s="2"/>
      <c r="AE102" s="4">
        <f>IF(PRICING[[#This Row],[SKU]]=I101,AE101+1,1)</f>
        <v>1</v>
      </c>
      <c r="AF102" s="150" t="b">
        <v>0</v>
      </c>
    </row>
    <row r="103" spans="1:32" x14ac:dyDescent="0.2">
      <c r="A103" s="80" t="s">
        <v>210</v>
      </c>
      <c r="B103" s="80" t="s">
        <v>172</v>
      </c>
      <c r="C103" s="80" t="s">
        <v>160</v>
      </c>
      <c r="D103" s="80" t="s">
        <v>161</v>
      </c>
      <c r="E103" s="80" t="s">
        <v>162</v>
      </c>
      <c r="F103" s="82" t="s">
        <v>163</v>
      </c>
      <c r="G103" s="83"/>
      <c r="H103" s="82"/>
      <c r="I103" s="87">
        <v>11015981</v>
      </c>
      <c r="J103" s="80" t="s">
        <v>304</v>
      </c>
      <c r="K103" t="s">
        <v>178</v>
      </c>
      <c r="L103" s="162">
        <v>840.32</v>
      </c>
      <c r="M103" s="162">
        <v>380.16</v>
      </c>
      <c r="N103" s="162">
        <f t="shared" si="6"/>
        <v>460.16</v>
      </c>
      <c r="O103" s="164" t="s">
        <v>209</v>
      </c>
      <c r="P103" s="162">
        <v>73</v>
      </c>
      <c r="Q103" s="134">
        <f t="shared" si="7"/>
        <v>307.16000000000003</v>
      </c>
      <c r="R103" s="162">
        <v>0</v>
      </c>
      <c r="S103" s="162">
        <v>0</v>
      </c>
      <c r="T103" s="162">
        <v>0</v>
      </c>
      <c r="U103" s="162">
        <v>846.2</v>
      </c>
      <c r="V103" s="162">
        <v>382.82</v>
      </c>
      <c r="W103" s="162">
        <v>264.20080000000002</v>
      </c>
      <c r="X103" s="150">
        <v>64</v>
      </c>
      <c r="Y103" s="276">
        <v>0.7</v>
      </c>
      <c r="Z103" s="276">
        <v>30.49</v>
      </c>
      <c r="AA103" s="162">
        <v>3.81</v>
      </c>
      <c r="AB103" s="162">
        <v>146.34</v>
      </c>
      <c r="AC103" s="151">
        <v>0.63449999999999995</v>
      </c>
      <c r="AD103" s="81"/>
      <c r="AE103" s="4">
        <f>IF(PRICING[[#This Row],[SKU]]=I102,AE102+1,1)</f>
        <v>2</v>
      </c>
      <c r="AF103" s="150" t="b">
        <v>0</v>
      </c>
    </row>
    <row r="104" spans="1:32" hidden="1" x14ac:dyDescent="0.2">
      <c r="A104" s="80" t="s">
        <v>210</v>
      </c>
      <c r="B104" s="80" t="s">
        <v>172</v>
      </c>
      <c r="C104" s="80" t="s">
        <v>160</v>
      </c>
      <c r="D104" s="80" t="s">
        <v>161</v>
      </c>
      <c r="E104" s="80" t="s">
        <v>162</v>
      </c>
      <c r="F104" s="82" t="s">
        <v>163</v>
      </c>
      <c r="G104" s="83"/>
      <c r="H104" s="82"/>
      <c r="I104" s="87">
        <v>11015990</v>
      </c>
      <c r="J104" s="80" t="s">
        <v>304</v>
      </c>
      <c r="K104" t="s">
        <v>165</v>
      </c>
      <c r="L104" s="162">
        <v>3654.4</v>
      </c>
      <c r="M104" s="162">
        <v>1900.8</v>
      </c>
      <c r="N104" s="162">
        <f t="shared" si="6"/>
        <v>1753.6000000000001</v>
      </c>
      <c r="O104" s="164" t="s">
        <v>215</v>
      </c>
      <c r="P104" s="162">
        <v>140</v>
      </c>
      <c r="Q104" s="132">
        <f t="shared" si="7"/>
        <v>1760.8</v>
      </c>
      <c r="R104" s="162">
        <v>0</v>
      </c>
      <c r="S104" s="162">
        <v>0</v>
      </c>
      <c r="T104" s="162">
        <v>0</v>
      </c>
      <c r="U104" s="162">
        <v>3679.98</v>
      </c>
      <c r="V104" s="162">
        <v>1913.6</v>
      </c>
      <c r="W104" s="162">
        <v>1773.6</v>
      </c>
      <c r="X104" s="150">
        <v>320</v>
      </c>
      <c r="Y104" s="276">
        <v>0.7</v>
      </c>
      <c r="Z104" s="276">
        <v>30.49</v>
      </c>
      <c r="AA104" s="162">
        <v>3.85</v>
      </c>
      <c r="AB104" s="162">
        <v>167.78</v>
      </c>
      <c r="AC104" s="151">
        <v>0.51819999999999999</v>
      </c>
      <c r="AD104" s="2"/>
      <c r="AE104" s="4">
        <f>IF(PRICING[[#This Row],[SKU]]=I103,AE103+1,1)</f>
        <v>1</v>
      </c>
      <c r="AF104" s="150" t="b">
        <v>0</v>
      </c>
    </row>
    <row r="105" spans="1:32" hidden="1" x14ac:dyDescent="0.2">
      <c r="A105" s="80" t="s">
        <v>210</v>
      </c>
      <c r="B105" s="80" t="s">
        <v>172</v>
      </c>
      <c r="C105" s="80" t="s">
        <v>160</v>
      </c>
      <c r="D105" s="80" t="s">
        <v>161</v>
      </c>
      <c r="E105" s="80" t="s">
        <v>162</v>
      </c>
      <c r="F105" s="82" t="s">
        <v>163</v>
      </c>
      <c r="G105" s="83"/>
      <c r="H105" s="82"/>
      <c r="I105" s="87">
        <v>11015990</v>
      </c>
      <c r="J105" s="80" t="s">
        <v>304</v>
      </c>
      <c r="K105" t="s">
        <v>165</v>
      </c>
      <c r="L105" s="162">
        <v>3654.4</v>
      </c>
      <c r="M105" s="162">
        <v>1900.8</v>
      </c>
      <c r="N105" s="162">
        <f t="shared" si="6"/>
        <v>1753.6000000000001</v>
      </c>
      <c r="O105" s="164" t="s">
        <v>216</v>
      </c>
      <c r="P105" s="162">
        <v>200</v>
      </c>
      <c r="Q105" s="132">
        <f t="shared" si="7"/>
        <v>1700.8</v>
      </c>
      <c r="R105" s="162">
        <v>0</v>
      </c>
      <c r="S105" s="162">
        <v>0</v>
      </c>
      <c r="T105" s="162">
        <v>0</v>
      </c>
      <c r="U105" s="162">
        <v>3679.98</v>
      </c>
      <c r="V105" s="162">
        <v>1913.6</v>
      </c>
      <c r="W105" s="162">
        <v>1713.6</v>
      </c>
      <c r="X105" s="150">
        <v>320</v>
      </c>
      <c r="Y105" s="276">
        <v>0.7</v>
      </c>
      <c r="Z105" s="276">
        <v>30.49</v>
      </c>
      <c r="AA105" s="162">
        <v>3.72</v>
      </c>
      <c r="AB105" s="162">
        <v>162.06</v>
      </c>
      <c r="AC105" s="151">
        <v>0.53459999999999996</v>
      </c>
      <c r="AD105" s="2"/>
      <c r="AE105" s="4">
        <f>IF(PRICING[[#This Row],[SKU]]=I104,AE104+1,1)</f>
        <v>2</v>
      </c>
      <c r="AF105" s="150" t="b">
        <v>0</v>
      </c>
    </row>
    <row r="106" spans="1:32" hidden="1" x14ac:dyDescent="0.2">
      <c r="A106" s="80" t="s">
        <v>158</v>
      </c>
      <c r="B106" s="80" t="s">
        <v>172</v>
      </c>
      <c r="C106" s="80" t="s">
        <v>166</v>
      </c>
      <c r="D106" s="80" t="s">
        <v>161</v>
      </c>
      <c r="E106" s="80" t="s">
        <v>174</v>
      </c>
      <c r="F106" s="82" t="s">
        <v>163</v>
      </c>
      <c r="G106" s="83"/>
      <c r="H106" s="82"/>
      <c r="I106" s="126">
        <v>86797658</v>
      </c>
      <c r="J106" s="127" t="s">
        <v>305</v>
      </c>
      <c r="K106" s="127" t="s">
        <v>306</v>
      </c>
      <c r="L106" s="162">
        <v>606.72</v>
      </c>
      <c r="M106" s="162">
        <v>606.72</v>
      </c>
      <c r="N106" s="162">
        <f t="shared" si="6"/>
        <v>0</v>
      </c>
      <c r="O106" s="164" t="s">
        <v>307</v>
      </c>
      <c r="P106" s="162">
        <v>40</v>
      </c>
      <c r="Q106" s="134">
        <f t="shared" si="7"/>
        <v>566.72</v>
      </c>
      <c r="R106" s="162">
        <v>624.77</v>
      </c>
      <c r="S106" s="162">
        <v>624.77</v>
      </c>
      <c r="T106" s="162">
        <v>584.77</v>
      </c>
      <c r="U106" s="162">
        <v>610.97</v>
      </c>
      <c r="V106" s="162">
        <v>610.97</v>
      </c>
      <c r="W106" s="162">
        <v>570.97</v>
      </c>
      <c r="X106" s="150">
        <v>128</v>
      </c>
      <c r="Y106" s="276">
        <v>0.73</v>
      </c>
      <c r="Z106" s="276">
        <v>31.8</v>
      </c>
      <c r="AA106" s="162">
        <v>3.23</v>
      </c>
      <c r="AB106" s="162">
        <v>140.79</v>
      </c>
      <c r="AC106" s="151">
        <v>6.59E-2</v>
      </c>
      <c r="AD106" s="81"/>
      <c r="AE106" s="4">
        <f>IF(PRICING[[#This Row],[SKU]]=I105,AE105+1,1)</f>
        <v>1</v>
      </c>
      <c r="AF106" s="150" t="b">
        <v>0</v>
      </c>
    </row>
    <row r="107" spans="1:32" hidden="1" x14ac:dyDescent="0.2">
      <c r="A107" s="245" t="s">
        <v>158</v>
      </c>
      <c r="B107" s="245" t="s">
        <v>172</v>
      </c>
      <c r="C107" s="245" t="s">
        <v>166</v>
      </c>
      <c r="D107" s="245" t="s">
        <v>161</v>
      </c>
      <c r="E107" s="245" t="s">
        <v>174</v>
      </c>
      <c r="F107" s="82" t="s">
        <v>163</v>
      </c>
      <c r="G107" s="83"/>
      <c r="H107" s="82"/>
      <c r="I107" s="277">
        <v>86797658</v>
      </c>
      <c r="J107" s="278" t="s">
        <v>305</v>
      </c>
      <c r="K107" s="278" t="s">
        <v>306</v>
      </c>
      <c r="L107" s="162">
        <v>606.72</v>
      </c>
      <c r="M107" s="162">
        <v>606.72</v>
      </c>
      <c r="N107" s="132">
        <f t="shared" si="6"/>
        <v>0</v>
      </c>
      <c r="O107" s="164" t="s">
        <v>308</v>
      </c>
      <c r="P107" s="162">
        <v>160</v>
      </c>
      <c r="Q107" s="132">
        <f t="shared" si="7"/>
        <v>446.72</v>
      </c>
      <c r="R107" s="162">
        <v>624.77</v>
      </c>
      <c r="S107" s="162">
        <v>624.77</v>
      </c>
      <c r="T107" s="162">
        <v>464.77</v>
      </c>
      <c r="U107" s="162">
        <v>610.97</v>
      </c>
      <c r="V107" s="162">
        <v>610.97</v>
      </c>
      <c r="W107" s="162">
        <v>450.97</v>
      </c>
      <c r="X107" s="150">
        <v>128</v>
      </c>
      <c r="Y107" s="276">
        <v>0.73</v>
      </c>
      <c r="Z107" s="276">
        <v>31.8</v>
      </c>
      <c r="AA107" s="162">
        <v>2.5499999999999998</v>
      </c>
      <c r="AB107" s="162">
        <v>110.98</v>
      </c>
      <c r="AC107" s="151">
        <v>0.26369999999999999</v>
      </c>
      <c r="AD107" s="2"/>
      <c r="AE107" s="4">
        <f>IF(PRICING[[#This Row],[SKU]]=I106,AE106+1,1)</f>
        <v>2</v>
      </c>
      <c r="AF107" s="150" t="b">
        <v>0</v>
      </c>
    </row>
    <row r="108" spans="1:32" hidden="1" x14ac:dyDescent="0.2">
      <c r="A108" s="245" t="s">
        <v>158</v>
      </c>
      <c r="B108" s="245" t="s">
        <v>159</v>
      </c>
      <c r="C108" s="245" t="s">
        <v>166</v>
      </c>
      <c r="D108" s="245" t="s">
        <v>185</v>
      </c>
      <c r="E108" s="245" t="s">
        <v>174</v>
      </c>
      <c r="F108" s="82" t="s">
        <v>163</v>
      </c>
      <c r="G108" s="85" t="s">
        <v>309</v>
      </c>
      <c r="H108" s="82"/>
      <c r="I108" s="128" t="s">
        <v>98</v>
      </c>
      <c r="J108" s="248" t="s">
        <v>310</v>
      </c>
      <c r="K108" s="249" t="s">
        <v>198</v>
      </c>
      <c r="L108" s="162">
        <v>64.77</v>
      </c>
      <c r="M108" s="162">
        <v>64.77</v>
      </c>
      <c r="N108" s="132">
        <f t="shared" si="6"/>
        <v>0</v>
      </c>
      <c r="O108" s="164">
        <v>0</v>
      </c>
      <c r="P108" s="162">
        <v>2</v>
      </c>
      <c r="Q108" s="132">
        <f t="shared" si="7"/>
        <v>62.769999999999996</v>
      </c>
      <c r="R108" s="162">
        <v>0</v>
      </c>
      <c r="S108" s="162">
        <v>0</v>
      </c>
      <c r="T108" s="162">
        <v>0</v>
      </c>
      <c r="U108" s="162">
        <v>0</v>
      </c>
      <c r="V108" s="162">
        <v>0</v>
      </c>
      <c r="W108" s="162">
        <v>0</v>
      </c>
      <c r="X108" s="150">
        <v>800</v>
      </c>
      <c r="Y108" s="276">
        <v>31.96</v>
      </c>
      <c r="Z108" s="276">
        <v>1392.18</v>
      </c>
      <c r="AA108" s="162">
        <v>2.5099999999999998</v>
      </c>
      <c r="AB108" s="162">
        <v>109.23</v>
      </c>
      <c r="AC108" s="151">
        <v>3.09E-2</v>
      </c>
      <c r="AD108" s="2"/>
      <c r="AE108" s="4">
        <f>IF(PRICING[[#This Row],[SKU]]=I107,AE107+1,1)</f>
        <v>1</v>
      </c>
      <c r="AF108" s="150" t="b">
        <v>0</v>
      </c>
    </row>
    <row r="109" spans="1:32" hidden="1" x14ac:dyDescent="0.2">
      <c r="A109" s="246" t="s">
        <v>158</v>
      </c>
      <c r="B109" s="246" t="s">
        <v>172</v>
      </c>
      <c r="C109" s="246" t="s">
        <v>166</v>
      </c>
      <c r="D109" s="246" t="s">
        <v>185</v>
      </c>
      <c r="E109" s="246" t="s">
        <v>168</v>
      </c>
      <c r="F109" s="82" t="s">
        <v>190</v>
      </c>
      <c r="G109" s="83"/>
      <c r="H109" s="82"/>
      <c r="I109" s="247">
        <v>81746257</v>
      </c>
      <c r="J109" s="246" t="s">
        <v>311</v>
      </c>
      <c r="K109" s="81" t="s">
        <v>212</v>
      </c>
      <c r="L109" s="162">
        <v>445.8</v>
      </c>
      <c r="M109" s="162">
        <v>445.8</v>
      </c>
      <c r="N109" s="134">
        <f t="shared" si="6"/>
        <v>0</v>
      </c>
      <c r="O109" s="164" t="s">
        <v>233</v>
      </c>
      <c r="P109" s="162">
        <v>0</v>
      </c>
      <c r="Q109" s="134">
        <f t="shared" si="7"/>
        <v>445.8</v>
      </c>
      <c r="R109" s="162">
        <v>459.06</v>
      </c>
      <c r="S109" s="162">
        <v>459.06</v>
      </c>
      <c r="T109" s="162">
        <v>459.06</v>
      </c>
      <c r="U109" s="162">
        <v>448.92</v>
      </c>
      <c r="V109" s="162">
        <v>448.92</v>
      </c>
      <c r="W109" s="162">
        <v>448.92</v>
      </c>
      <c r="X109" s="150">
        <v>6</v>
      </c>
      <c r="Y109" s="276">
        <v>0.02</v>
      </c>
      <c r="Z109" s="276">
        <v>1</v>
      </c>
      <c r="AA109" s="162">
        <v>1.71</v>
      </c>
      <c r="AB109" s="162">
        <v>74.3</v>
      </c>
      <c r="AC109" s="151">
        <v>0</v>
      </c>
      <c r="AD109" s="81"/>
      <c r="AE109" s="4">
        <f>IF(PRICING[[#This Row],[SKU]]=I108,AE108+1,1)</f>
        <v>1</v>
      </c>
      <c r="AF109" s="150" t="b">
        <v>1</v>
      </c>
    </row>
    <row r="110" spans="1:32" hidden="1" x14ac:dyDescent="0.2">
      <c r="A110" s="245" t="s">
        <v>158</v>
      </c>
      <c r="B110" s="245" t="s">
        <v>172</v>
      </c>
      <c r="C110" s="245" t="s">
        <v>166</v>
      </c>
      <c r="D110" s="245" t="s">
        <v>185</v>
      </c>
      <c r="E110" s="245" t="s">
        <v>168</v>
      </c>
      <c r="F110" s="80" t="s">
        <v>190</v>
      </c>
      <c r="G110" s="83"/>
      <c r="H110" s="82"/>
      <c r="I110" s="124">
        <v>81746257</v>
      </c>
      <c r="J110" s="245" t="s">
        <v>311</v>
      </c>
      <c r="K110" s="2" t="s">
        <v>212</v>
      </c>
      <c r="L110" s="162">
        <v>445.8</v>
      </c>
      <c r="M110" s="162">
        <v>445.8</v>
      </c>
      <c r="N110" s="132">
        <f t="shared" si="6"/>
        <v>0</v>
      </c>
      <c r="O110" s="164" t="s">
        <v>234</v>
      </c>
      <c r="P110" s="162">
        <v>40</v>
      </c>
      <c r="Q110" s="132">
        <f t="shared" si="7"/>
        <v>405.8</v>
      </c>
      <c r="R110" s="162">
        <v>459.06</v>
      </c>
      <c r="S110" s="162">
        <v>459.06</v>
      </c>
      <c r="T110" s="162">
        <v>419.06</v>
      </c>
      <c r="U110" s="162">
        <v>448.92</v>
      </c>
      <c r="V110" s="162">
        <v>448.92</v>
      </c>
      <c r="W110" s="162">
        <v>408.92</v>
      </c>
      <c r="X110" s="150">
        <v>6</v>
      </c>
      <c r="Y110" s="276">
        <v>0.02</v>
      </c>
      <c r="Z110" s="276">
        <v>1</v>
      </c>
      <c r="AA110" s="162">
        <v>1.55</v>
      </c>
      <c r="AB110" s="162">
        <v>67.63</v>
      </c>
      <c r="AC110" s="151">
        <v>8.9700000000000002E-2</v>
      </c>
      <c r="AD110" s="2"/>
      <c r="AE110" s="4">
        <f>IF(PRICING[[#This Row],[SKU]]=I109,AE109+1,1)</f>
        <v>2</v>
      </c>
      <c r="AF110" s="150" t="b">
        <v>1</v>
      </c>
    </row>
    <row r="111" spans="1:32" hidden="1" x14ac:dyDescent="0.2">
      <c r="A111" s="245" t="s">
        <v>210</v>
      </c>
      <c r="B111" s="245" t="s">
        <v>172</v>
      </c>
      <c r="C111" s="245" t="s">
        <v>160</v>
      </c>
      <c r="D111" s="245" t="s">
        <v>161</v>
      </c>
      <c r="E111" s="245" t="s">
        <v>174</v>
      </c>
      <c r="F111" s="80" t="s">
        <v>190</v>
      </c>
      <c r="G111" s="83"/>
      <c r="H111" s="82"/>
      <c r="I111" s="124">
        <v>11008521</v>
      </c>
      <c r="J111" s="245" t="s">
        <v>312</v>
      </c>
      <c r="K111" s="2" t="s">
        <v>170</v>
      </c>
      <c r="L111" s="162">
        <v>371.2</v>
      </c>
      <c r="M111" s="162">
        <v>371.2</v>
      </c>
      <c r="N111" s="132">
        <f t="shared" si="6"/>
        <v>0</v>
      </c>
      <c r="O111" s="164" t="s">
        <v>229</v>
      </c>
      <c r="P111" s="162">
        <v>0</v>
      </c>
      <c r="Q111" s="132">
        <f t="shared" si="7"/>
        <v>371.2</v>
      </c>
      <c r="R111" s="162">
        <v>0</v>
      </c>
      <c r="S111" s="162">
        <v>0</v>
      </c>
      <c r="T111" s="162">
        <v>0</v>
      </c>
      <c r="U111" s="162">
        <v>373.8</v>
      </c>
      <c r="V111" s="162">
        <v>373.8</v>
      </c>
      <c r="W111" s="162">
        <v>373.8</v>
      </c>
      <c r="X111" s="150">
        <v>128</v>
      </c>
      <c r="Y111" s="276">
        <v>0.56999999999999995</v>
      </c>
      <c r="Z111" s="276">
        <v>25</v>
      </c>
      <c r="AA111" s="162">
        <v>1.33</v>
      </c>
      <c r="AB111" s="162">
        <v>58.11</v>
      </c>
      <c r="AC111" s="151">
        <v>0</v>
      </c>
      <c r="AD111" s="2"/>
      <c r="AE111" s="4">
        <f>IF(PRICING[[#This Row],[SKU]]=I110,AE110+1,1)</f>
        <v>1</v>
      </c>
      <c r="AF111" s="150" t="b">
        <v>1</v>
      </c>
    </row>
    <row r="112" spans="1:32" hidden="1" x14ac:dyDescent="0.2">
      <c r="A112" s="245" t="s">
        <v>210</v>
      </c>
      <c r="B112" s="245" t="s">
        <v>172</v>
      </c>
      <c r="C112" s="245" t="s">
        <v>160</v>
      </c>
      <c r="D112" s="245" t="s">
        <v>161</v>
      </c>
      <c r="E112" s="245" t="s">
        <v>174</v>
      </c>
      <c r="F112" s="80" t="s">
        <v>190</v>
      </c>
      <c r="G112" s="83"/>
      <c r="H112" s="82"/>
      <c r="I112" s="124">
        <v>11008521</v>
      </c>
      <c r="J112" s="245" t="s">
        <v>312</v>
      </c>
      <c r="K112" s="2" t="s">
        <v>170</v>
      </c>
      <c r="L112" s="162">
        <v>371.2</v>
      </c>
      <c r="M112" s="162">
        <v>371.2</v>
      </c>
      <c r="N112" s="132">
        <f t="shared" si="6"/>
        <v>0</v>
      </c>
      <c r="O112" s="164" t="s">
        <v>230</v>
      </c>
      <c r="P112" s="162">
        <v>10</v>
      </c>
      <c r="Q112" s="132">
        <f t="shared" si="7"/>
        <v>361.2</v>
      </c>
      <c r="R112" s="162">
        <v>0</v>
      </c>
      <c r="S112" s="162">
        <v>0</v>
      </c>
      <c r="T112" s="162">
        <v>0</v>
      </c>
      <c r="U112" s="162">
        <v>373.8</v>
      </c>
      <c r="V112" s="162">
        <v>373.8</v>
      </c>
      <c r="W112" s="162">
        <v>363.8</v>
      </c>
      <c r="X112" s="150">
        <v>128</v>
      </c>
      <c r="Y112" s="276">
        <v>0.56999999999999995</v>
      </c>
      <c r="Z112" s="276">
        <v>25</v>
      </c>
      <c r="AA112" s="162">
        <v>1.3</v>
      </c>
      <c r="AB112" s="162">
        <v>56.54</v>
      </c>
      <c r="AC112" s="151">
        <v>2.69E-2</v>
      </c>
      <c r="AD112" s="2"/>
      <c r="AE112" s="4">
        <f>IF(PRICING[[#This Row],[SKU]]=I111,AE111+1,1)</f>
        <v>2</v>
      </c>
      <c r="AF112" s="150" t="b">
        <v>1</v>
      </c>
    </row>
    <row r="113" spans="1:32" hidden="1" x14ac:dyDescent="0.2">
      <c r="A113" s="246" t="s">
        <v>210</v>
      </c>
      <c r="B113" s="246" t="s">
        <v>172</v>
      </c>
      <c r="C113" s="246" t="s">
        <v>166</v>
      </c>
      <c r="D113" s="246" t="s">
        <v>161</v>
      </c>
      <c r="E113" s="246" t="s">
        <v>168</v>
      </c>
      <c r="F113" s="80" t="s">
        <v>163</v>
      </c>
      <c r="G113" s="92"/>
      <c r="H113" s="80"/>
      <c r="I113" s="247">
        <v>11008590</v>
      </c>
      <c r="J113" s="246" t="s">
        <v>313</v>
      </c>
      <c r="K113" s="81" t="s">
        <v>314</v>
      </c>
      <c r="L113" s="162">
        <v>496.32</v>
      </c>
      <c r="M113" s="162">
        <v>351.12</v>
      </c>
      <c r="N113" s="134">
        <f t="shared" si="6"/>
        <v>145.19999999999999</v>
      </c>
      <c r="O113" s="164" t="s">
        <v>282</v>
      </c>
      <c r="P113" s="162">
        <v>25</v>
      </c>
      <c r="Q113" s="134">
        <f t="shared" si="7"/>
        <v>326.12</v>
      </c>
      <c r="R113" s="162">
        <v>0</v>
      </c>
      <c r="S113" s="162">
        <v>0</v>
      </c>
      <c r="T113" s="162">
        <v>0</v>
      </c>
      <c r="U113" s="162">
        <v>0</v>
      </c>
      <c r="V113" s="162">
        <v>0</v>
      </c>
      <c r="W113" s="162">
        <v>0</v>
      </c>
      <c r="X113" s="150">
        <v>12</v>
      </c>
      <c r="Y113" s="276">
        <v>0.32</v>
      </c>
      <c r="Z113" s="276">
        <v>14</v>
      </c>
      <c r="AA113" s="162">
        <v>8.73</v>
      </c>
      <c r="AB113" s="162">
        <v>380.47</v>
      </c>
      <c r="AC113" s="151">
        <v>0.34289999999999998</v>
      </c>
      <c r="AD113" s="81"/>
      <c r="AE113" s="4">
        <f>IF(PRICING[[#This Row],[SKU]]=I112,AE112+1,1)</f>
        <v>1</v>
      </c>
      <c r="AF113" s="150" t="b">
        <v>0</v>
      </c>
    </row>
    <row r="114" spans="1:32" hidden="1" x14ac:dyDescent="0.2">
      <c r="A114" s="246" t="s">
        <v>210</v>
      </c>
      <c r="B114" s="246" t="s">
        <v>172</v>
      </c>
      <c r="C114" s="246" t="s">
        <v>166</v>
      </c>
      <c r="D114" s="246" t="s">
        <v>161</v>
      </c>
      <c r="E114" s="246" t="s">
        <v>168</v>
      </c>
      <c r="F114" s="80" t="s">
        <v>163</v>
      </c>
      <c r="G114" s="92"/>
      <c r="H114" s="80"/>
      <c r="I114" s="247">
        <v>11008590</v>
      </c>
      <c r="J114" s="246" t="s">
        <v>313</v>
      </c>
      <c r="K114" s="81" t="s">
        <v>314</v>
      </c>
      <c r="L114" s="162">
        <v>496.32</v>
      </c>
      <c r="M114" s="162">
        <v>351.12</v>
      </c>
      <c r="N114" s="134">
        <f t="shared" si="6"/>
        <v>145.19999999999999</v>
      </c>
      <c r="O114" s="280" t="s">
        <v>283</v>
      </c>
      <c r="P114" s="162">
        <v>50</v>
      </c>
      <c r="Q114" s="134">
        <f t="shared" si="7"/>
        <v>301.12</v>
      </c>
      <c r="R114" s="281">
        <v>0</v>
      </c>
      <c r="S114" s="162">
        <v>0</v>
      </c>
      <c r="T114" s="162">
        <v>0</v>
      </c>
      <c r="U114" s="281">
        <v>0</v>
      </c>
      <c r="V114" s="162">
        <v>0</v>
      </c>
      <c r="W114" s="162">
        <v>0</v>
      </c>
      <c r="X114" s="150">
        <v>12</v>
      </c>
      <c r="Y114" s="276">
        <v>0.32</v>
      </c>
      <c r="Z114" s="276">
        <v>14</v>
      </c>
      <c r="AA114" s="162">
        <v>8.06</v>
      </c>
      <c r="AB114" s="162">
        <v>351.31</v>
      </c>
      <c r="AC114" s="283">
        <v>0.39329999999999998</v>
      </c>
      <c r="AD114" s="81"/>
      <c r="AE114" s="284">
        <f>IF(PRICING[[#This Row],[SKU]]=I113,AE113+1,1)</f>
        <v>2</v>
      </c>
      <c r="AF114" s="150" t="b">
        <v>0</v>
      </c>
    </row>
    <row r="115" spans="1:32" hidden="1" x14ac:dyDescent="0.2">
      <c r="A115" s="246" t="s">
        <v>210</v>
      </c>
      <c r="B115" s="246" t="s">
        <v>159</v>
      </c>
      <c r="C115" s="246" t="s">
        <v>160</v>
      </c>
      <c r="D115" s="246" t="s">
        <v>161</v>
      </c>
      <c r="E115" s="246" t="s">
        <v>174</v>
      </c>
      <c r="F115" s="82" t="s">
        <v>175</v>
      </c>
      <c r="G115" s="83"/>
      <c r="H115" s="82"/>
      <c r="I115" s="247">
        <v>11008457</v>
      </c>
      <c r="J115" s="246" t="s">
        <v>315</v>
      </c>
      <c r="K115" s="81" t="s">
        <v>170</v>
      </c>
      <c r="L115" s="294">
        <v>51.61</v>
      </c>
      <c r="M115" s="295">
        <v>51.61</v>
      </c>
      <c r="N115" s="134">
        <f>L115-M115</f>
        <v>0</v>
      </c>
      <c r="O115" s="164">
        <v>0</v>
      </c>
      <c r="P115" s="162">
        <v>6</v>
      </c>
      <c r="Q115" s="134">
        <f>M115-P115</f>
        <v>45.61</v>
      </c>
      <c r="R115" s="281">
        <v>0</v>
      </c>
      <c r="S115" s="162">
        <v>0</v>
      </c>
      <c r="T115" s="162">
        <v>0</v>
      </c>
      <c r="U115" s="281">
        <v>0</v>
      </c>
      <c r="V115" s="162">
        <v>0</v>
      </c>
      <c r="W115" s="162">
        <v>0</v>
      </c>
      <c r="X115" s="292">
        <v>128</v>
      </c>
      <c r="Y115" s="293">
        <v>0.46</v>
      </c>
      <c r="Z115" s="293">
        <v>20.04</v>
      </c>
      <c r="AA115" s="162">
        <v>0.16</v>
      </c>
      <c r="AB115" s="162">
        <v>7.14</v>
      </c>
      <c r="AC115" s="151">
        <v>0.1163</v>
      </c>
      <c r="AE115" s="284">
        <f>IF(PRICING[[#This Row],[SKU]]=I114,AE114+1,1)</f>
        <v>1</v>
      </c>
      <c r="AF115" t="b">
        <v>0</v>
      </c>
    </row>
  </sheetData>
  <conditionalFormatting sqref="G5:H5">
    <cfRule type="duplicateValues" dxfId="137" priority="82"/>
    <cfRule type="duplicateValues" dxfId="136" priority="83"/>
    <cfRule type="duplicateValues" dxfId="135" priority="84"/>
  </conditionalFormatting>
  <conditionalFormatting sqref="G6:H6">
    <cfRule type="duplicateValues" dxfId="134" priority="85"/>
    <cfRule type="duplicateValues" dxfId="133" priority="86"/>
    <cfRule type="duplicateValues" dxfId="132" priority="87"/>
  </conditionalFormatting>
  <conditionalFormatting sqref="G13:H13">
    <cfRule type="duplicateValues" dxfId="131" priority="76"/>
    <cfRule type="duplicateValues" dxfId="130" priority="77"/>
    <cfRule type="duplicateValues" dxfId="129" priority="78"/>
  </conditionalFormatting>
  <conditionalFormatting sqref="G14:H14 G12:H12">
    <cfRule type="duplicateValues" dxfId="128" priority="79"/>
    <cfRule type="duplicateValues" dxfId="127" priority="80"/>
    <cfRule type="duplicateValues" dxfId="126" priority="81"/>
  </conditionalFormatting>
  <conditionalFormatting sqref="G15:H15">
    <cfRule type="duplicateValues" dxfId="125" priority="73"/>
    <cfRule type="duplicateValues" dxfId="124" priority="74"/>
    <cfRule type="duplicateValues" dxfId="123" priority="75"/>
  </conditionalFormatting>
  <conditionalFormatting sqref="G16:H16">
    <cfRule type="duplicateValues" dxfId="122" priority="67"/>
    <cfRule type="duplicateValues" dxfId="121" priority="68"/>
    <cfRule type="duplicateValues" dxfId="120" priority="69"/>
  </conditionalFormatting>
  <conditionalFormatting sqref="G17:H17">
    <cfRule type="duplicateValues" dxfId="119" priority="70"/>
    <cfRule type="duplicateValues" dxfId="118" priority="71"/>
    <cfRule type="duplicateValues" dxfId="117" priority="72"/>
  </conditionalFormatting>
  <conditionalFormatting sqref="G30">
    <cfRule type="duplicateValues" dxfId="116" priority="64"/>
    <cfRule type="duplicateValues" dxfId="115" priority="65"/>
    <cfRule type="duplicateValues" dxfId="114" priority="66"/>
  </conditionalFormatting>
  <conditionalFormatting sqref="G38">
    <cfRule type="duplicateValues" dxfId="113" priority="61"/>
    <cfRule type="duplicateValues" dxfId="112" priority="62"/>
    <cfRule type="duplicateValues" dxfId="111" priority="63"/>
  </conditionalFormatting>
  <conditionalFormatting sqref="G47">
    <cfRule type="duplicateValues" dxfId="110" priority="55"/>
    <cfRule type="duplicateValues" dxfId="109" priority="56"/>
    <cfRule type="duplicateValues" dxfId="108" priority="57"/>
  </conditionalFormatting>
  <conditionalFormatting sqref="G48">
    <cfRule type="duplicateValues" dxfId="107" priority="58"/>
    <cfRule type="duplicateValues" dxfId="106" priority="59"/>
    <cfRule type="duplicateValues" dxfId="105" priority="60"/>
  </conditionalFormatting>
  <conditionalFormatting sqref="G56:G57">
    <cfRule type="duplicateValues" dxfId="104" priority="46"/>
    <cfRule type="duplicateValues" dxfId="103" priority="47"/>
    <cfRule type="duplicateValues" dxfId="102" priority="48"/>
  </conditionalFormatting>
  <conditionalFormatting sqref="G68">
    <cfRule type="duplicateValues" dxfId="101" priority="52"/>
    <cfRule type="duplicateValues" dxfId="100" priority="53"/>
    <cfRule type="duplicateValues" dxfId="99" priority="54"/>
  </conditionalFormatting>
  <conditionalFormatting sqref="G70">
    <cfRule type="duplicateValues" dxfId="98" priority="49"/>
    <cfRule type="duplicateValues" dxfId="97" priority="50"/>
    <cfRule type="duplicateValues" dxfId="96" priority="51"/>
  </conditionalFormatting>
  <conditionalFormatting sqref="G71">
    <cfRule type="duplicateValues" dxfId="95" priority="43"/>
    <cfRule type="duplicateValues" dxfId="94" priority="44"/>
    <cfRule type="duplicateValues" dxfId="93" priority="45"/>
  </conditionalFormatting>
  <conditionalFormatting sqref="G72">
    <cfRule type="duplicateValues" dxfId="92" priority="40"/>
    <cfRule type="duplicateValues" dxfId="91" priority="41"/>
    <cfRule type="duplicateValues" dxfId="90" priority="42"/>
  </conditionalFormatting>
  <conditionalFormatting sqref="G73">
    <cfRule type="duplicateValues" dxfId="89" priority="37"/>
    <cfRule type="duplicateValues" dxfId="88" priority="38"/>
    <cfRule type="duplicateValues" dxfId="87" priority="39"/>
  </conditionalFormatting>
  <conditionalFormatting sqref="G74">
    <cfRule type="duplicateValues" dxfId="86" priority="34"/>
    <cfRule type="duplicateValues" dxfId="85" priority="35"/>
    <cfRule type="duplicateValues" dxfId="84" priority="36"/>
  </conditionalFormatting>
  <conditionalFormatting sqref="G82">
    <cfRule type="duplicateValues" dxfId="83" priority="31"/>
    <cfRule type="duplicateValues" dxfId="82" priority="32"/>
    <cfRule type="duplicateValues" dxfId="81" priority="33"/>
  </conditionalFormatting>
  <conditionalFormatting sqref="G84">
    <cfRule type="duplicateValues" dxfId="80" priority="28"/>
    <cfRule type="duplicateValues" dxfId="79" priority="29"/>
    <cfRule type="duplicateValues" dxfId="78" priority="30"/>
  </conditionalFormatting>
  <conditionalFormatting sqref="G85">
    <cfRule type="duplicateValues" dxfId="77" priority="25"/>
    <cfRule type="duplicateValues" dxfId="76" priority="26"/>
    <cfRule type="duplicateValues" dxfId="75" priority="27"/>
  </conditionalFormatting>
  <conditionalFormatting sqref="G86">
    <cfRule type="duplicateValues" dxfId="74" priority="22"/>
    <cfRule type="duplicateValues" dxfId="73" priority="23"/>
    <cfRule type="duplicateValues" dxfId="72" priority="24"/>
  </conditionalFormatting>
  <conditionalFormatting sqref="G91">
    <cfRule type="duplicateValues" dxfId="71" priority="19"/>
    <cfRule type="duplicateValues" dxfId="70" priority="20"/>
    <cfRule type="duplicateValues" dxfId="69" priority="21"/>
  </conditionalFormatting>
  <conditionalFormatting sqref="G107:H107">
    <cfRule type="duplicateValues" dxfId="68" priority="16"/>
    <cfRule type="duplicateValues" dxfId="67" priority="17"/>
    <cfRule type="duplicateValues" dxfId="66" priority="18"/>
  </conditionalFormatting>
  <conditionalFormatting sqref="G108:H108">
    <cfRule type="duplicateValues" dxfId="65" priority="13"/>
    <cfRule type="duplicateValues" dxfId="64" priority="14"/>
    <cfRule type="duplicateValues" dxfId="63" priority="15"/>
  </conditionalFormatting>
  <conditionalFormatting sqref="G109:H109">
    <cfRule type="duplicateValues" dxfId="62" priority="10"/>
    <cfRule type="duplicateValues" dxfId="61" priority="11"/>
    <cfRule type="duplicateValues" dxfId="60" priority="12"/>
  </conditionalFormatting>
  <conditionalFormatting sqref="G111">
    <cfRule type="duplicateValues" dxfId="59" priority="4"/>
    <cfRule type="duplicateValues" dxfId="58" priority="5"/>
    <cfRule type="duplicateValues" dxfId="57" priority="6"/>
  </conditionalFormatting>
  <conditionalFormatting sqref="G112">
    <cfRule type="duplicateValues" dxfId="56" priority="1"/>
    <cfRule type="duplicateValues" dxfId="55" priority="2"/>
    <cfRule type="duplicateValues" dxfId="54" priority="3"/>
  </conditionalFormatting>
  <conditionalFormatting sqref="G113">
    <cfRule type="duplicateValues" dxfId="53" priority="7"/>
    <cfRule type="duplicateValues" dxfId="52" priority="8"/>
    <cfRule type="duplicateValues" dxfId="51" priority="9"/>
  </conditionalFormatting>
  <pageMargins left="0.7" right="0.7" top="0.75" bottom="0.75" header="0.3" footer="0.3"/>
  <legacy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195A4-68B2-4939-8037-FC33F1EA3D10}">
  <sheetPr codeName="Sheet3"/>
  <dimension ref="A1:Q79"/>
  <sheetViews>
    <sheetView showGridLines="0" topLeftCell="A55" workbookViewId="0">
      <selection activeCell="A79" sqref="A79"/>
    </sheetView>
  </sheetViews>
  <sheetFormatPr baseColWidth="10" defaultColWidth="8.83203125" defaultRowHeight="15" x14ac:dyDescent="0.2"/>
  <cols>
    <col min="1" max="1" width="11.5" bestFit="1" customWidth="1"/>
    <col min="2" max="2" width="11.83203125" bestFit="1" customWidth="1"/>
    <col min="3" max="3" width="30.1640625" bestFit="1" customWidth="1"/>
    <col min="4" max="4" width="7.83203125" bestFit="1" customWidth="1"/>
    <col min="5" max="5" width="11" bestFit="1" customWidth="1"/>
    <col min="6" max="8" width="11.83203125" bestFit="1" customWidth="1"/>
    <col min="9" max="9" width="11.83203125" customWidth="1"/>
    <col min="10" max="11" width="16" bestFit="1" customWidth="1"/>
    <col min="12" max="13" width="16" customWidth="1"/>
    <col min="14" max="15" width="20.83203125" bestFit="1" customWidth="1"/>
    <col min="16" max="16" width="10.5" bestFit="1" customWidth="1"/>
    <col min="17" max="17" width="20.5" bestFit="1" customWidth="1"/>
  </cols>
  <sheetData>
    <row r="1" spans="1:17" x14ac:dyDescent="0.2">
      <c r="A1" s="7" t="s">
        <v>119</v>
      </c>
      <c r="B1" s="8" t="s">
        <v>128</v>
      </c>
      <c r="C1" s="9" t="s">
        <v>316</v>
      </c>
      <c r="D1" s="9" t="s">
        <v>137</v>
      </c>
      <c r="E1" s="9" t="s">
        <v>317</v>
      </c>
      <c r="F1" s="10" t="s">
        <v>318</v>
      </c>
      <c r="G1" s="10" t="s">
        <v>319</v>
      </c>
      <c r="H1" s="10" t="s">
        <v>320</v>
      </c>
      <c r="I1" s="10" t="s">
        <v>321</v>
      </c>
      <c r="J1" s="10" t="s">
        <v>322</v>
      </c>
      <c r="K1" s="10" t="s">
        <v>323</v>
      </c>
      <c r="L1" s="10" t="s">
        <v>324</v>
      </c>
      <c r="M1" s="10" t="s">
        <v>325</v>
      </c>
      <c r="N1" s="11" t="s">
        <v>326</v>
      </c>
      <c r="O1" s="11" t="s">
        <v>327</v>
      </c>
      <c r="P1" s="11" t="s">
        <v>328</v>
      </c>
      <c r="Q1" s="12" t="s">
        <v>329</v>
      </c>
    </row>
    <row r="2" spans="1:17" hidden="1" x14ac:dyDescent="0.2">
      <c r="A2" s="167">
        <v>4250930</v>
      </c>
      <c r="B2" s="5" t="str">
        <f>INDEX(PRICING[Agency/TT],MATCH(Rebate_Lookup[[#This Row],[SKU CODE]],PRICING[SKU],0))</f>
        <v>TT</v>
      </c>
      <c r="C2" s="5" t="str">
        <f>INDEX(PRICING[Product],MATCH(Rebate_Lookup[[#This Row],[SKU CODE]],PRICING[SKU],0))</f>
        <v>26GT™</v>
      </c>
      <c r="D2" s="5" t="str">
        <f>INDEX(PRICING[Size],MATCH(Rebate_Lookup[[#This Row],[SKU CODE]],PRICING[SKU],0))</f>
        <v>2.5 gal</v>
      </c>
      <c r="E2" s="5" cm="1">
        <f t="array" ref="E2">SUM(COUNTIFS(
    PRICING[Program],{"EOP/ORN","ORN","EOP","NOW","LL/NOW","LL/SLP/NOW","LL/SLP/EOP"},
    PRICING[SKU],A2
))</f>
        <v>1</v>
      </c>
      <c r="F2" s="5" cm="1">
        <f t="array" ref="F2">IFERROR(
MIN(
_xlfn._xlws.FILTER(
--_xlfn.TEXTBEFORE(
SUBSTITUTE(
SUBSTITUTE(PRICING[Min Qty],"+"," "),
"-"," "
),
" "
),
(PRICING[SKU]=$A2)*
(PRICING[Set]=1)*
(PRICING[Rebate $]&lt;&gt;0)*
(PRICING[Rebate $]&lt;&gt;"")
)
),
0
)</f>
        <v>0</v>
      </c>
      <c r="G2" s="5" cm="1">
        <f t="array" ref="G2">IFERROR(
MIN(
_xlfn._xlws.FILTER(
--_xlfn.TEXTBEFORE(
SUBSTITUTE(
SUBSTITUTE(PRICING[Min Qty],"+"," "),
"-"," "
),
" "
),
(PRICING[SKU]=$A2)*
(PRICING[Set]=2)*
(PRICING[Rebate $]&lt;&gt;0)*
(PRICING[Rebate $]&lt;&gt;"")
)
),
0
)</f>
        <v>0</v>
      </c>
      <c r="H2" s="5" cm="1">
        <f t="array" ref="H2">IFERROR(
MIN(
_xlfn._xlws.FILTER(
--_xlfn.TEXTBEFORE(
SUBSTITUTE(
SUBSTITUTE(PRICING[Min Qty],"+"," "),
"-"," "
),
" "
),
(PRICING[SKU]=$A2)*
(PRICING[Set]=3)*
(PRICING[Rebate $]&lt;&gt;0)*
(PRICING[Rebate $]&lt;&gt;"")
)
),
0
)</f>
        <v>0</v>
      </c>
      <c r="I2" s="5" cm="1">
        <f t="array" ref="I2">IFERROR(
MIN(
_xlfn._xlws.FILTER(
--_xlfn.TEXTBEFORE(
SUBSTITUTE(
SUBSTITUTE(PRICING[Min Qty],"+"," "),
"-"," "
),
" "
),
(PRICING[SKU]=$A2)*
(PRICING[Set]=4)*
(PRICING[Rebate $]&lt;&gt;0)*
(PRICING[Rebate $]&lt;&gt;"")
)
),
0
)</f>
        <v>0</v>
      </c>
      <c r="J2" s="5" cm="1">
        <f t="array" ref="J2">SUM(
    SUMIFS(
        PRICING[Rebate $],
        PRICING[Program],
        {"EOP/ORN","ORN","EOP","NOW","LL/NOW","LL/SLP/NOW","LL/SLP/EOP"},
        PRICING[SKU],
        Rebate_Lookup[[#This Row],[SKU CODE]],
        PRICING[Set],
        1
    )
)</f>
        <v>31</v>
      </c>
      <c r="K2" s="5" cm="1">
        <f t="array" ref="K2">SUM(
    SUMIFS(
        PRICING[Rebate $],
        PRICING[Program],
        {"EOP/ORN","ORN","EOP","NOW","LL/NOW","LL/SLP/NOW","LL/SLP/EOP"},
        PRICING[SKU],
        Rebate_Lookup[[#This Row],[SKU CODE]],
        PRICING[Set],
        2
    )
)</f>
        <v>0</v>
      </c>
      <c r="L2" s="5" cm="1">
        <f t="array" ref="L2">SUM(
    SUMIFS(
        PRICING[Rebate $],
        PRICING[Program],
        {"EOP/ORN","ORN","EOP","NOW","LL/NOW","LL/SLP/NOW","LL/SLP/EOP"},
        PRICING[SKU],
        Rebate_Lookup[[#This Row],[SKU CODE]],
        PRICING[Set],
        3
    )
)</f>
        <v>0</v>
      </c>
      <c r="M2" s="5" cm="1">
        <f t="array" ref="M2">SUM(
    SUMIFS(
        PRICING[Rebate $],
        PRICING[Program],
        {"EOP/ORN","ORN","EOP","NOW","LL/NOW","LL/SLP/NOW","LL/SLP/EOP"},
        PRICING[SKU],
        Rebate_Lookup[[#This Row],[SKU CODE]],
        PRICING[Set],
        4
    )
)</f>
        <v>0</v>
      </c>
      <c r="N2" s="5">
        <f>INDEX(Estimates!H:H,MATCH(Rebate_Lookup[[#This Row],[SKU CODE]],Estimates!A:A,0))</f>
        <v>0</v>
      </c>
      <c r="O2"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2" s="5">
        <f>COUNTIF(Estimates!A:A,Rebate_Lookup[[#This Row],[SKU CODE]])</f>
        <v>1</v>
      </c>
      <c r="Q2" s="6" t="b">
        <f>IFERROR(Rebate_Lookup[[#This Row],[Order Form Quantity]]&gt;=Rebate_Lookup[[#This Row],[MOQ_2]],0)</f>
        <v>1</v>
      </c>
    </row>
    <row r="3" spans="1:17" hidden="1" x14ac:dyDescent="0.2">
      <c r="A3" s="168">
        <v>87300722</v>
      </c>
      <c r="B3" s="5" t="str">
        <f>INDEX(PRICING[Agency/TT],MATCH(Rebate_Lookup[[#This Row],[SKU CODE]],PRICING[SKU],0))</f>
        <v>TT</v>
      </c>
      <c r="C3" s="5" t="str">
        <f>INDEX(PRICING[Product],MATCH(Rebate_Lookup[[#This Row],[SKU CODE]],PRICING[SKU],0))</f>
        <v>Acclaim Extra®</v>
      </c>
      <c r="D3" s="5" t="str">
        <f>INDEX(PRICING[Size],MATCH(Rebate_Lookup[[#This Row],[SKU CODE]],PRICING[SKU],0))</f>
        <v>1 gal</v>
      </c>
      <c r="E3" s="5" cm="1">
        <f t="array" ref="E3">SUM(COUNTIFS(
    PRICING[Program],{"EOP/ORN","ORN","EOP","NOW","LL/NOW","LL/SLP/NOW","LL/SLP/EOP"},
    PRICING[SKU],A3
))</f>
        <v>1</v>
      </c>
      <c r="F3" s="5" cm="1">
        <f t="array" ref="F3">IFERROR(
MIN(
_xlfn._xlws.FILTER(
--_xlfn.TEXTBEFORE(
SUBSTITUTE(
SUBSTITUTE(PRICING[Min Qty],"+"," "),
"-"," "
),
" "
),
(PRICING[SKU]=$A3)*
(PRICING[Set]=1)*
(PRICING[Rebate $]&lt;&gt;0)*
(PRICING[Rebate $]&lt;&gt;"")
)
),
0
)</f>
        <v>0</v>
      </c>
      <c r="G3" s="5" cm="1">
        <f t="array" ref="G3">IFERROR(
MIN(
_xlfn._xlws.FILTER(
--_xlfn.TEXTBEFORE(
SUBSTITUTE(
SUBSTITUTE(PRICING[Min Qty],"+"," "),
"-"," "
),
" "
),
(PRICING[SKU]=$A3)*
(PRICING[Set]=2)*
(PRICING[Rebate $]&lt;&gt;0)*
(PRICING[Rebate $]&lt;&gt;"")
)
),
0
)</f>
        <v>0</v>
      </c>
      <c r="H3" s="5" cm="1">
        <f t="array" ref="H3">IFERROR(
MIN(
_xlfn._xlws.FILTER(
--_xlfn.TEXTBEFORE(
SUBSTITUTE(
SUBSTITUTE(PRICING[Min Qty],"+"," "),
"-"," "
),
" "
),
(PRICING[SKU]=$A3)*
(PRICING[Set]=3)*
(PRICING[Rebate $]&lt;&gt;0)*
(PRICING[Rebate $]&lt;&gt;"")
)
),
0
)</f>
        <v>0</v>
      </c>
      <c r="I3" s="5" cm="1">
        <f t="array" ref="I3">IFERROR(
MIN(
_xlfn._xlws.FILTER(
--_xlfn.TEXTBEFORE(
SUBSTITUTE(
SUBSTITUTE(PRICING[Min Qty],"+"," "),
"-"," "
),
" "
),
(PRICING[SKU]=$A3)*
(PRICING[Set]=4)*
(PRICING[Rebate $]&lt;&gt;0)*
(PRICING[Rebate $]&lt;&gt;"")
)
),
0
)</f>
        <v>0</v>
      </c>
      <c r="J3" s="5" cm="1">
        <f t="array" ref="J3">SUM(
    SUMIFS(
        PRICING[Rebate $],
        PRICING[Program],
        {"EOP/ORN","ORN","EOP","NOW","LL/NOW","LL/SLP/NOW","LL/SLP/EOP"},
        PRICING[SKU],
        Rebate_Lookup[[#This Row],[SKU CODE]],
        PRICING[Set],
        1
    )
)</f>
        <v>68</v>
      </c>
      <c r="K3" s="5" cm="1">
        <f t="array" ref="K3">SUM(
    SUMIFS(
        PRICING[Rebate $],
        PRICING[Program],
        {"EOP/ORN","ORN","EOP","NOW","LL/NOW","LL/SLP/NOW","LL/SLP/EOP"},
        PRICING[SKU],
        Rebate_Lookup[[#This Row],[SKU CODE]],
        PRICING[Set],
        2
    )
)</f>
        <v>0</v>
      </c>
      <c r="L3" s="5" cm="1">
        <f t="array" ref="L3">SUM(
    SUMIFS(
        PRICING[Rebate $],
        PRICING[Program],
        {"EOP/ORN","ORN","EOP","NOW","LL/NOW","LL/SLP/NOW","LL/SLP/EOP"},
        PRICING[SKU],
        Rebate_Lookup[[#This Row],[SKU CODE]],
        PRICING[Set],
        3
    )
)</f>
        <v>0</v>
      </c>
      <c r="M3" s="5" cm="1">
        <f t="array" ref="M3">SUM(
    SUMIFS(
        PRICING[Rebate $],
        PRICING[Program],
        {"EOP/ORN","ORN","EOP","NOW","LL/NOW","LL/SLP/NOW","LL/SLP/EOP"},
        PRICING[SKU],
        Rebate_Lookup[[#This Row],[SKU CODE]],
        PRICING[Set],
        4
    )
)</f>
        <v>0</v>
      </c>
      <c r="N3" s="5">
        <f>INDEX(Estimates!H:H,MATCH(Rebate_Lookup[[#This Row],[SKU CODE]],Estimates!A:A,0))</f>
        <v>0</v>
      </c>
      <c r="O3"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3" s="5">
        <f>COUNTIF(Estimates!A:A,Rebate_Lookup[[#This Row],[SKU CODE]])</f>
        <v>1</v>
      </c>
      <c r="Q3" s="6" t="b">
        <f>IFERROR(Rebate_Lookup[[#This Row],[Order Form Quantity]]&gt;=Rebate_Lookup[[#This Row],[MOQ_2]],0)</f>
        <v>1</v>
      </c>
    </row>
    <row r="4" spans="1:17" hidden="1" x14ac:dyDescent="0.2">
      <c r="A4" s="168">
        <v>7271250</v>
      </c>
      <c r="B4" s="5" t="str">
        <f>INDEX(PRICING[Agency/TT],MATCH(Rebate_Lookup[[#This Row],[SKU CODE]],PRICING[SKU],0))</f>
        <v>TT</v>
      </c>
      <c r="C4" s="5" t="str">
        <f>INDEX(PRICING[Product],MATCH(Rebate_Lookup[[#This Row],[SKU CODE]],PRICING[SKU],0))</f>
        <v>Acclaim Extra®</v>
      </c>
      <c r="D4" s="5" t="str">
        <f>INDEX(PRICING[Size],MATCH(Rebate_Lookup[[#This Row],[SKU CODE]],PRICING[SKU],0))</f>
        <v>16 oz</v>
      </c>
      <c r="E4" s="5" cm="1">
        <f t="array" ref="E4">SUM(COUNTIFS(
    PRICING[Program],{"EOP/ORN","ORN","EOP","NOW","LL/NOW","LL/SLP/NOW","LL/SLP/EOP"},
    PRICING[SKU],A4
))</f>
        <v>1</v>
      </c>
      <c r="F4" s="5" cm="1">
        <f t="array" ref="F4">IFERROR(
MIN(
_xlfn._xlws.FILTER(
--_xlfn.TEXTBEFORE(
SUBSTITUTE(
SUBSTITUTE(PRICING[Min Qty],"+"," "),
"-"," "
),
" "
),
(PRICING[SKU]=$A4)*
(PRICING[Set]=1)*
(PRICING[Rebate $]&lt;&gt;0)*
(PRICING[Rebate $]&lt;&gt;"")
)
),
0
)</f>
        <v>0</v>
      </c>
      <c r="G4" s="5" cm="1">
        <f t="array" ref="G4">IFERROR(
MIN(
_xlfn._xlws.FILTER(
--_xlfn.TEXTBEFORE(
SUBSTITUTE(
SUBSTITUTE(PRICING[Min Qty],"+"," "),
"-"," "
),
" "
),
(PRICING[SKU]=$A4)*
(PRICING[Set]=2)*
(PRICING[Rebate $]&lt;&gt;0)*
(PRICING[Rebate $]&lt;&gt;"")
)
),
0
)</f>
        <v>0</v>
      </c>
      <c r="H4" s="5" cm="1">
        <f t="array" ref="H4">IFERROR(
MIN(
_xlfn._xlws.FILTER(
--_xlfn.TEXTBEFORE(
SUBSTITUTE(
SUBSTITUTE(PRICING[Min Qty],"+"," "),
"-"," "
),
" "
),
(PRICING[SKU]=$A4)*
(PRICING[Set]=3)*
(PRICING[Rebate $]&lt;&gt;0)*
(PRICING[Rebate $]&lt;&gt;"")
)
),
0
)</f>
        <v>0</v>
      </c>
      <c r="I4" s="5" cm="1">
        <f t="array" ref="I4">IFERROR(
MIN(
_xlfn._xlws.FILTER(
--_xlfn.TEXTBEFORE(
SUBSTITUTE(
SUBSTITUTE(PRICING[Min Qty],"+"," "),
"-"," "
),
" "
),
(PRICING[SKU]=$A4)*
(PRICING[Set]=4)*
(PRICING[Rebate $]&lt;&gt;0)*
(PRICING[Rebate $]&lt;&gt;"")
)
),
0
)</f>
        <v>0</v>
      </c>
      <c r="J4" s="5" cm="1">
        <f t="array" ref="J4">SUM(
    SUMIFS(
        PRICING[Rebate $],
        PRICING[Program],
        {"EOP/ORN","ORN","EOP","NOW","LL/NOW","LL/SLP/NOW","LL/SLP/EOP"},
        PRICING[SKU],
        Rebate_Lookup[[#This Row],[SKU CODE]],
        PRICING[Set],
        1
    )
)</f>
        <v>10</v>
      </c>
      <c r="K4" s="5" cm="1">
        <f t="array" ref="K4">SUM(
    SUMIFS(
        PRICING[Rebate $],
        PRICING[Program],
        {"EOP/ORN","ORN","EOP","NOW","LL/NOW","LL/SLP/NOW","LL/SLP/EOP"},
        PRICING[SKU],
        Rebate_Lookup[[#This Row],[SKU CODE]],
        PRICING[Set],
        2
    )
)</f>
        <v>0</v>
      </c>
      <c r="L4" s="5" cm="1">
        <f t="array" ref="L4">SUM(
    SUMIFS(
        PRICING[Rebate $],
        PRICING[Program],
        {"EOP/ORN","ORN","EOP","NOW","LL/NOW","LL/SLP/NOW","LL/SLP/EOP"},
        PRICING[SKU],
        Rebate_Lookup[[#This Row],[SKU CODE]],
        PRICING[Set],
        3
    )
)</f>
        <v>0</v>
      </c>
      <c r="M4" s="5" cm="1">
        <f t="array" ref="M4">SUM(
    SUMIFS(
        PRICING[Rebate $],
        PRICING[Program],
        {"EOP/ORN","ORN","EOP","NOW","LL/NOW","LL/SLP/NOW","LL/SLP/EOP"},
        PRICING[SKU],
        Rebate_Lookup[[#This Row],[SKU CODE]],
        PRICING[Set],
        4
    )
)</f>
        <v>0</v>
      </c>
      <c r="N4" s="5">
        <f>INDEX(Estimates!H:H,MATCH(Rebate_Lookup[[#This Row],[SKU CODE]],Estimates!A:A,0))</f>
        <v>0</v>
      </c>
      <c r="O4"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4" s="5">
        <f>COUNTIF(Estimates!A:A,Rebate_Lookup[[#This Row],[SKU CODE]])</f>
        <v>1</v>
      </c>
      <c r="Q4" s="6" t="b">
        <f>IFERROR(Rebate_Lookup[[#This Row],[Order Form Quantity]]&gt;=Rebate_Lookup[[#This Row],[MOQ_2]],0)</f>
        <v>1</v>
      </c>
    </row>
    <row r="5" spans="1:17" x14ac:dyDescent="0.2">
      <c r="A5" s="168" t="s">
        <v>48</v>
      </c>
      <c r="B5" s="5" t="str">
        <f>INDEX(PRICING[Agency/TT],MATCH(Rebate_Lookup[[#This Row],[SKU CODE]],PRICING[SKU],0))</f>
        <v>A</v>
      </c>
      <c r="C5" s="5" t="str">
        <f>INDEX(PRICING[Product],MATCH(Rebate_Lookup[[#This Row],[SKU CODE]],PRICING[SKU],0))</f>
        <v>Altus®</v>
      </c>
      <c r="D5" s="5" t="str">
        <f>INDEX(PRICING[Size],MATCH(Rebate_Lookup[[#This Row],[SKU CODE]],PRICING[SKU],0))</f>
        <v>64 oz</v>
      </c>
      <c r="E5" s="5" cm="1">
        <f t="array" ref="E5">SUM(COUNTIFS(
    PRICING[Program],{"EOP/ORN","ORN","EOP","NOW","LL/NOW","LL/SLP/NOW","LL/SLP/EOP"},
    PRICING[SKU],A5
))</f>
        <v>1</v>
      </c>
      <c r="F5" s="5" cm="1">
        <f t="array" ref="F5">IFERROR(
MIN(
_xlfn._xlws.FILTER(
--_xlfn.TEXTBEFORE(
SUBSTITUTE(
SUBSTITUTE(PRICING[Min Qty],"+"," "),
"-"," "
),
" "
),
(PRICING[SKU]=$A5)*
(PRICING[Set]=1)*
(PRICING[Rebate $]&lt;&gt;0)*
(PRICING[Rebate $]&lt;&gt;"")
)
),
0
)</f>
        <v>0</v>
      </c>
      <c r="G5" s="5" cm="1">
        <f t="array" ref="G5">IFERROR(
MIN(
_xlfn._xlws.FILTER(
--_xlfn.TEXTBEFORE(
SUBSTITUTE(
SUBSTITUTE(PRICING[Min Qty],"+"," "),
"-"," "
),
" "
),
(PRICING[SKU]=$A5)*
(PRICING[Set]=2)*
(PRICING[Rebate $]&lt;&gt;0)*
(PRICING[Rebate $]&lt;&gt;"")
)
),
0
)</f>
        <v>0</v>
      </c>
      <c r="H5" s="5" cm="1">
        <f t="array" ref="H5">IFERROR(
MIN(
_xlfn._xlws.FILTER(
--_xlfn.TEXTBEFORE(
SUBSTITUTE(
SUBSTITUTE(PRICING[Min Qty],"+"," "),
"-"," "
),
" "
),
(PRICING[SKU]=$A5)*
(PRICING[Set]=3)*
(PRICING[Rebate $]&lt;&gt;0)*
(PRICING[Rebate $]&lt;&gt;"")
)
),
0
)</f>
        <v>0</v>
      </c>
      <c r="I5" s="5" cm="1">
        <f t="array" ref="I5">IFERROR(
MIN(
_xlfn._xlws.FILTER(
--_xlfn.TEXTBEFORE(
SUBSTITUTE(
SUBSTITUTE(PRICING[Min Qty],"+"," "),
"-"," "
),
" "
),
(PRICING[SKU]=$A5)*
(PRICING[Set]=4)*
(PRICING[Rebate $]&lt;&gt;0)*
(PRICING[Rebate $]&lt;&gt;"")
)
),
0
)</f>
        <v>0</v>
      </c>
      <c r="J5" s="5" cm="1">
        <f t="array" ref="J5">SUM(
    SUMIFS(
        PRICING[Rebate $],
        PRICING[Program],
        {"EOP/ORN","ORN","EOP","NOW","LL/NOW","LL/SLP/NOW","LL/SLP/EOP"},
        PRICING[SKU],
        Rebate_Lookup[[#This Row],[SKU CODE]],
        PRICING[Set],
        1
    )
)</f>
        <v>0</v>
      </c>
      <c r="K5" s="5" cm="1">
        <f t="array" ref="K5">SUM(
    SUMIFS(
        PRICING[Rebate $],
        PRICING[Program],
        {"EOP/ORN","ORN","EOP","NOW","LL/NOW","LL/SLP/NOW","LL/SLP/EOP"},
        PRICING[SKU],
        Rebate_Lookup[[#This Row],[SKU CODE]],
        PRICING[Set],
        2
    )
)</f>
        <v>0</v>
      </c>
      <c r="L5" s="5" cm="1">
        <f t="array" ref="L5">SUM(
    SUMIFS(
        PRICING[Rebate $],
        PRICING[Program],
        {"EOP/ORN","ORN","EOP","NOW","LL/NOW","LL/SLP/NOW","LL/SLP/EOP"},
        PRICING[SKU],
        Rebate_Lookup[[#This Row],[SKU CODE]],
        PRICING[Set],
        3
    )
)</f>
        <v>0</v>
      </c>
      <c r="M5" s="5" cm="1">
        <f t="array" ref="M5">SUM(
    SUMIFS(
        PRICING[Rebate $],
        PRICING[Program],
        {"EOP/ORN","ORN","EOP","NOW","LL/NOW","LL/SLP/NOW","LL/SLP/EOP"},
        PRICING[SKU],
        Rebate_Lookup[[#This Row],[SKU CODE]],
        PRICING[Set],
        4
    )
)</f>
        <v>0</v>
      </c>
      <c r="N5" s="5">
        <f>INDEX(Estimates!H:H,MATCH(Rebate_Lookup[[#This Row],[SKU CODE]],Estimates!A:A,0))</f>
        <v>0</v>
      </c>
      <c r="O5"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5" s="5">
        <f>COUNTIF(Estimates!A:A,Rebate_Lookup[[#This Row],[SKU CODE]])</f>
        <v>1</v>
      </c>
      <c r="Q5" s="6" t="b">
        <f>IFERROR(Rebate_Lookup[[#This Row],[Order Form Quantity]]&gt;=Rebate_Lookup[[#This Row],[MOQ_2]],0)</f>
        <v>1</v>
      </c>
    </row>
    <row r="6" spans="1:17" x14ac:dyDescent="0.2">
      <c r="A6" s="168" t="s">
        <v>49</v>
      </c>
      <c r="B6" s="5" t="str">
        <f>INDEX(PRICING[Agency/TT],MATCH(Rebate_Lookup[[#This Row],[SKU CODE]],PRICING[SKU],0))</f>
        <v>A</v>
      </c>
      <c r="C6" s="5" t="str">
        <f>INDEX(PRICING[Product],MATCH(Rebate_Lookup[[#This Row],[SKU CODE]],PRICING[SKU],0))</f>
        <v>Altus®</v>
      </c>
      <c r="D6" s="5" t="str">
        <f>INDEX(PRICING[Size],MATCH(Rebate_Lookup[[#This Row],[SKU CODE]],PRICING[SKU],0))</f>
        <v>64 oz</v>
      </c>
      <c r="E6" s="5" cm="1">
        <f t="array" ref="E6">SUM(COUNTIFS(
    PRICING[Program],{"EOP/ORN","ORN","EOP","NOW","LL/NOW","LL/SLP/NOW","LL/SLP/EOP"},
    PRICING[SKU],A6
))</f>
        <v>1</v>
      </c>
      <c r="F6" s="5" cm="1">
        <f t="array" ref="F6">IFERROR(
MIN(
_xlfn._xlws.FILTER(
--_xlfn.TEXTBEFORE(
SUBSTITUTE(
SUBSTITUTE(PRICING[Min Qty],"+"," "),
"-"," "
),
" "
),
(PRICING[SKU]=$A6)*
(PRICING[Set]=1)*
(PRICING[Rebate $]&lt;&gt;0)*
(PRICING[Rebate $]&lt;&gt;"")
)
),
0
)</f>
        <v>0</v>
      </c>
      <c r="G6" s="5" cm="1">
        <f t="array" ref="G6">IFERROR(
MIN(
_xlfn._xlws.FILTER(
--_xlfn.TEXTBEFORE(
SUBSTITUTE(
SUBSTITUTE(PRICING[Min Qty],"+"," "),
"-"," "
),
" "
),
(PRICING[SKU]=$A6)*
(PRICING[Set]=2)*
(PRICING[Rebate $]&lt;&gt;0)*
(PRICING[Rebate $]&lt;&gt;"")
)
),
0
)</f>
        <v>0</v>
      </c>
      <c r="H6" s="5" cm="1">
        <f t="array" ref="H6">IFERROR(
MIN(
_xlfn._xlws.FILTER(
--_xlfn.TEXTBEFORE(
SUBSTITUTE(
SUBSTITUTE(PRICING[Min Qty],"+"," "),
"-"," "
),
" "
),
(PRICING[SKU]=$A6)*
(PRICING[Set]=3)*
(PRICING[Rebate $]&lt;&gt;0)*
(PRICING[Rebate $]&lt;&gt;"")
)
),
0
)</f>
        <v>0</v>
      </c>
      <c r="I6" s="5" cm="1">
        <f t="array" ref="I6">IFERROR(
MIN(
_xlfn._xlws.FILTER(
--_xlfn.TEXTBEFORE(
SUBSTITUTE(
SUBSTITUTE(PRICING[Min Qty],"+"," "),
"-"," "
),
" "
),
(PRICING[SKU]=$A6)*
(PRICING[Set]=4)*
(PRICING[Rebate $]&lt;&gt;0)*
(PRICING[Rebate $]&lt;&gt;"")
)
),
0
)</f>
        <v>0</v>
      </c>
      <c r="J6" s="5" cm="1">
        <f t="array" ref="J6">SUM(
    SUMIFS(
        PRICING[Rebate $],
        PRICING[Program],
        {"EOP/ORN","ORN","EOP","NOW","LL/NOW","LL/SLP/NOW","LL/SLP/EOP"},
        PRICING[SKU],
        Rebate_Lookup[[#This Row],[SKU CODE]],
        PRICING[Set],
        1
    )
)</f>
        <v>0</v>
      </c>
      <c r="K6" s="5" cm="1">
        <f t="array" ref="K6">SUM(
    SUMIFS(
        PRICING[Rebate $],
        PRICING[Program],
        {"EOP/ORN","ORN","EOP","NOW","LL/NOW","LL/SLP/NOW","LL/SLP/EOP"},
        PRICING[SKU],
        Rebate_Lookup[[#This Row],[SKU CODE]],
        PRICING[Set],
        2
    )
)</f>
        <v>0</v>
      </c>
      <c r="L6" s="5" cm="1">
        <f t="array" ref="L6">SUM(
    SUMIFS(
        PRICING[Rebate $],
        PRICING[Program],
        {"EOP/ORN","ORN","EOP","NOW","LL/NOW","LL/SLP/NOW","LL/SLP/EOP"},
        PRICING[SKU],
        Rebate_Lookup[[#This Row],[SKU CODE]],
        PRICING[Set],
        3
    )
)</f>
        <v>0</v>
      </c>
      <c r="M6" s="5" cm="1">
        <f t="array" ref="M6">SUM(
    SUMIFS(
        PRICING[Rebate $],
        PRICING[Program],
        {"EOP/ORN","ORN","EOP","NOW","LL/NOW","LL/SLP/NOW","LL/SLP/EOP"},
        PRICING[SKU],
        Rebate_Lookup[[#This Row],[SKU CODE]],
        PRICING[Set],
        4
    )
)</f>
        <v>0</v>
      </c>
      <c r="N6" s="5">
        <f>INDEX(Estimates!H:H,MATCH(Rebate_Lookup[[#This Row],[SKU CODE]],Estimates!A:A,0))</f>
        <v>0</v>
      </c>
      <c r="O6"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6" s="5">
        <f>COUNTIF(Estimates!A:A,Rebate_Lookup[[#This Row],[SKU CODE]])</f>
        <v>1</v>
      </c>
      <c r="Q6" s="6" t="b">
        <f>IFERROR(Rebate_Lookup[[#This Row],[Order Form Quantity]]&gt;=Rebate_Lookup[[#This Row],[MOQ_2]],0)</f>
        <v>1</v>
      </c>
    </row>
    <row r="7" spans="1:17" x14ac:dyDescent="0.2">
      <c r="A7" s="168" t="s">
        <v>50</v>
      </c>
      <c r="B7" s="5" t="str">
        <f>INDEX(PRICING[Agency/TT],MATCH(Rebate_Lookup[[#This Row],[SKU CODE]],PRICING[SKU],0))</f>
        <v>A</v>
      </c>
      <c r="C7" s="5" t="str">
        <f>INDEX(PRICING[Product],MATCH(Rebate_Lookup[[#This Row],[SKU CODE]],PRICING[SKU],0))</f>
        <v>Altus®</v>
      </c>
      <c r="D7" s="5" t="str">
        <f>INDEX(PRICING[Size],MATCH(Rebate_Lookup[[#This Row],[SKU CODE]],PRICING[SKU],0))</f>
        <v>64 oz</v>
      </c>
      <c r="E7" s="5" cm="1">
        <f t="array" ref="E7">SUM(COUNTIFS(
    PRICING[Program],{"EOP/ORN","ORN","EOP","NOW","LL/NOW","LL/SLP/NOW","LL/SLP/EOP"},
    PRICING[SKU],A7
))</f>
        <v>1</v>
      </c>
      <c r="F7" s="5" cm="1">
        <f t="array" ref="F7">IFERROR(
MIN(
_xlfn._xlws.FILTER(
--_xlfn.TEXTBEFORE(
SUBSTITUTE(
SUBSTITUTE(PRICING[Min Qty],"+"," "),
"-"," "
),
" "
),
(PRICING[SKU]=$A7)*
(PRICING[Set]=1)*
(PRICING[Rebate $]&lt;&gt;0)*
(PRICING[Rebate $]&lt;&gt;"")
)
),
0
)</f>
        <v>0</v>
      </c>
      <c r="G7" s="5" cm="1">
        <f t="array" ref="G7">IFERROR(
MIN(
_xlfn._xlws.FILTER(
--_xlfn.TEXTBEFORE(
SUBSTITUTE(
SUBSTITUTE(PRICING[Min Qty],"+"," "),
"-"," "
),
" "
),
(PRICING[SKU]=$A7)*
(PRICING[Set]=2)*
(PRICING[Rebate $]&lt;&gt;0)*
(PRICING[Rebate $]&lt;&gt;"")
)
),
0
)</f>
        <v>0</v>
      </c>
      <c r="H7" s="5" cm="1">
        <f t="array" ref="H7">IFERROR(
MIN(
_xlfn._xlws.FILTER(
--_xlfn.TEXTBEFORE(
SUBSTITUTE(
SUBSTITUTE(PRICING[Min Qty],"+"," "),
"-"," "
),
" "
),
(PRICING[SKU]=$A7)*
(PRICING[Set]=3)*
(PRICING[Rebate $]&lt;&gt;0)*
(PRICING[Rebate $]&lt;&gt;"")
)
),
0
)</f>
        <v>0</v>
      </c>
      <c r="I7" s="5" cm="1">
        <f t="array" ref="I7">IFERROR(
MIN(
_xlfn._xlws.FILTER(
--_xlfn.TEXTBEFORE(
SUBSTITUTE(
SUBSTITUTE(PRICING[Min Qty],"+"," "),
"-"," "
),
" "
),
(PRICING[SKU]=$A7)*
(PRICING[Set]=4)*
(PRICING[Rebate $]&lt;&gt;0)*
(PRICING[Rebate $]&lt;&gt;"")
)
),
0
)</f>
        <v>0</v>
      </c>
      <c r="J7" s="5" cm="1">
        <f t="array" ref="J7">SUM(
    SUMIFS(
        PRICING[Rebate $],
        PRICING[Program],
        {"EOP/ORN","ORN","EOP","NOW","LL/NOW","LL/SLP/NOW","LL/SLP/EOP"},
        PRICING[SKU],
        Rebate_Lookup[[#This Row],[SKU CODE]],
        PRICING[Set],
        1
    )
)</f>
        <v>0</v>
      </c>
      <c r="K7" s="5" cm="1">
        <f t="array" ref="K7">SUM(
    SUMIFS(
        PRICING[Rebate $],
        PRICING[Program],
        {"EOP/ORN","ORN","EOP","NOW","LL/NOW","LL/SLP/NOW","LL/SLP/EOP"},
        PRICING[SKU],
        Rebate_Lookup[[#This Row],[SKU CODE]],
        PRICING[Set],
        2
    )
)</f>
        <v>0</v>
      </c>
      <c r="L7" s="5" cm="1">
        <f t="array" ref="L7">SUM(
    SUMIFS(
        PRICING[Rebate $],
        PRICING[Program],
        {"EOP/ORN","ORN","EOP","NOW","LL/NOW","LL/SLP/NOW","LL/SLP/EOP"},
        PRICING[SKU],
        Rebate_Lookup[[#This Row],[SKU CODE]],
        PRICING[Set],
        3
    )
)</f>
        <v>0</v>
      </c>
      <c r="M7" s="5" cm="1">
        <f t="array" ref="M7">SUM(
    SUMIFS(
        PRICING[Rebate $],
        PRICING[Program],
        {"EOP/ORN","ORN","EOP","NOW","LL/NOW","LL/SLP/NOW","LL/SLP/EOP"},
        PRICING[SKU],
        Rebate_Lookup[[#This Row],[SKU CODE]],
        PRICING[Set],
        4
    )
)</f>
        <v>0</v>
      </c>
      <c r="N7" s="5">
        <f>INDEX(Estimates!H:H,MATCH(Rebate_Lookup[[#This Row],[SKU CODE]],Estimates!A:A,0))</f>
        <v>0</v>
      </c>
      <c r="O7"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7" s="5">
        <f>COUNTIF(Estimates!A:A,Rebate_Lookup[[#This Row],[SKU CODE]])</f>
        <v>1</v>
      </c>
      <c r="Q7" s="6" t="b">
        <f>IFERROR(Rebate_Lookup[[#This Row],[Order Form Quantity]]&gt;=Rebate_Lookup[[#This Row],[MOQ_2]],0)</f>
        <v>1</v>
      </c>
    </row>
    <row r="8" spans="1:17" x14ac:dyDescent="0.2">
      <c r="A8" s="169" t="s">
        <v>51</v>
      </c>
      <c r="B8" s="94" t="str">
        <f>INDEX(PRICING[Agency/TT],MATCH(Rebate_Lookup[[#This Row],[SKU CODE]],PRICING[SKU],0))</f>
        <v>A</v>
      </c>
      <c r="C8" s="94" t="str">
        <f>INDEX(PRICING[Product],MATCH(Rebate_Lookup[[#This Row],[SKU CODE]],PRICING[SKU],0))</f>
        <v>Banol®</v>
      </c>
      <c r="D8" s="94" t="str">
        <f>INDEX(PRICING[Size],MATCH(Rebate_Lookup[[#This Row],[SKU CODE]],PRICING[SKU],0))</f>
        <v xml:space="preserve">2.5 gal </v>
      </c>
      <c r="E8" s="5" cm="1">
        <f t="array" ref="E8">SUM(COUNTIFS(
    PRICING[Program],{"EOP/ORN","ORN","EOP","NOW","LL/NOW","LL/SLP/NOW","LL/SLP/EOP"},
    PRICING[SKU],A8
))</f>
        <v>2</v>
      </c>
      <c r="F8" s="5" cm="1">
        <f t="array" ref="F8">IFERROR(
MIN(
_xlfn._xlws.FILTER(
--_xlfn.TEXTBEFORE(
SUBSTITUTE(
SUBSTITUTE(PRICING[Min Qty],"+"," "),
"-"," "
),
" "
),
(PRICING[SKU]=$A8)*
(PRICING[Set]=1)*
(PRICING[Rebate $]&lt;&gt;0)*
(PRICING[Rebate $]&lt;&gt;"")
)
),
0
)</f>
        <v>0</v>
      </c>
      <c r="G8" s="94" cm="1">
        <f t="array" ref="G8">IFERROR(
MIN(
_xlfn._xlws.FILTER(
--_xlfn.TEXTBEFORE(
SUBSTITUTE(
SUBSTITUTE(PRICING[Min Qty],"+"," "),
"-"," "
),
" "
),
(PRICING[SKU]=$A8)*
(PRICING[Set]=2)*
(PRICING[Rebate $]&lt;&gt;0)*
(PRICING[Rebate $]&lt;&gt;"")
)
),
0
)</f>
        <v>2</v>
      </c>
      <c r="H8" s="94" cm="1">
        <f t="array" ref="H8">IFERROR(
MIN(
_xlfn._xlws.FILTER(
--_xlfn.TEXTBEFORE(
SUBSTITUTE(
SUBSTITUTE(PRICING[Min Qty],"+"," "),
"-"," "
),
" "
),
(PRICING[SKU]=$A8)*
(PRICING[Set]=3)*
(PRICING[Rebate $]&lt;&gt;0)*
(PRICING[Rebate $]&lt;&gt;"")
)
),
0
)</f>
        <v>0</v>
      </c>
      <c r="I8" s="94" cm="1">
        <f t="array" ref="I8">IFERROR(
MIN(
_xlfn._xlws.FILTER(
--_xlfn.TEXTBEFORE(
SUBSTITUTE(
SUBSTITUTE(PRICING[Min Qty],"+"," "),
"-"," "
),
" "
),
(PRICING[SKU]=$A8)*
(PRICING[Set]=4)*
(PRICING[Rebate $]&lt;&gt;0)*
(PRICING[Rebate $]&lt;&gt;"")
)
),
0
)</f>
        <v>0</v>
      </c>
      <c r="J8" s="94" cm="1">
        <f t="array" ref="J8">SUM(
    SUMIFS(
        PRICING[Rebate $],
        PRICING[Program],
        {"EOP/ORN","ORN","EOP","NOW","LL/NOW","LL/SLP/NOW","LL/SLP/EOP"},
        PRICING[SKU],
        Rebate_Lookup[[#This Row],[SKU CODE]],
        PRICING[Set],
        1
    )
)</f>
        <v>0</v>
      </c>
      <c r="K8" s="94" cm="1">
        <f t="array" ref="K8">SUM(
    SUMIFS(
        PRICING[Rebate $],
        PRICING[Program],
        {"EOP/ORN","ORN","EOP","NOW","LL/NOW","LL/SLP/NOW","LL/SLP/EOP"},
        PRICING[SKU],
        Rebate_Lookup[[#This Row],[SKU CODE]],
        PRICING[Set],
        2
    )
)</f>
        <v>75</v>
      </c>
      <c r="L8" s="94" cm="1">
        <f t="array" ref="L8">SUM(
    SUMIFS(
        PRICING[Rebate $],
        PRICING[Program],
        {"EOP/ORN","ORN","EOP","NOW","LL/NOW","LL/SLP/NOW","LL/SLP/EOP"},
        PRICING[SKU],
        Rebate_Lookup[[#This Row],[SKU CODE]],
        PRICING[Set],
        3
    )
)</f>
        <v>0</v>
      </c>
      <c r="M8" s="94" cm="1">
        <f t="array" ref="M8">SUM(
    SUMIFS(
        PRICING[Rebate $],
        PRICING[Program],
        {"EOP/ORN","ORN","EOP","NOW","LL/NOW","LL/SLP/NOW","LL/SLP/EOP"},
        PRICING[SKU],
        Rebate_Lookup[[#This Row],[SKU CODE]],
        PRICING[Set],
        4
    )
)</f>
        <v>0</v>
      </c>
      <c r="N8" s="94">
        <f>INDEX(Estimates!H:H,MATCH(Rebate_Lookup[[#This Row],[SKU CODE]],Estimates!A:A,0))</f>
        <v>0</v>
      </c>
      <c r="O8"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8" s="94">
        <f>COUNTIF(Estimates!A:A,Rebate_Lookup[[#This Row],[SKU CODE]])</f>
        <v>1</v>
      </c>
      <c r="Q8" s="95" t="b">
        <f>IFERROR(Rebate_Lookup[[#This Row],[Order Form Quantity]]&gt;=Rebate_Lookup[[#This Row],[MOQ_2]],0)</f>
        <v>0</v>
      </c>
    </row>
    <row r="9" spans="1:17" hidden="1" x14ac:dyDescent="0.2">
      <c r="A9" s="168">
        <v>11008351</v>
      </c>
      <c r="B9" s="5" t="str">
        <f>INDEX(PRICING[Agency/TT],MATCH(Rebate_Lookup[[#This Row],[SKU CODE]],PRICING[SKU],0))</f>
        <v>TT</v>
      </c>
      <c r="C9" s="5" t="str">
        <f>INDEX(PRICING[Product],MATCH(Rebate_Lookup[[#This Row],[SKU CODE]],PRICING[SKU],0))</f>
        <v xml:space="preserve">Blindside® Herbicide </v>
      </c>
      <c r="D9" s="5" t="str">
        <f>INDEX(PRICING[Size],MATCH(Rebate_Lookup[[#This Row],[SKU CODE]],PRICING[SKU],0))</f>
        <v>0.5 lb</v>
      </c>
      <c r="E9" s="5" cm="1">
        <f t="array" ref="E9">SUM(COUNTIFS(
    PRICING[Program],{"EOP/ORN","ORN","EOP","NOW","LL/NOW","LL/SLP/NOW","LL/SLP/EOP"},
    PRICING[SKU],A9
))</f>
        <v>1</v>
      </c>
      <c r="F9" s="5" cm="1">
        <f t="array" ref="F9">IFERROR(
MIN(
_xlfn._xlws.FILTER(
--_xlfn.TEXTBEFORE(
SUBSTITUTE(
SUBSTITUTE(PRICING[Min Qty],"+"," "),
"-"," "
),
" "
),
(PRICING[SKU]=$A9)*
(PRICING[Set]=1)*
(PRICING[Rebate $]&lt;&gt;0)*
(PRICING[Rebate $]&lt;&gt;"")
)
),
0
)</f>
        <v>0</v>
      </c>
      <c r="G9" s="5" cm="1">
        <f t="array" ref="G9">IFERROR(
MIN(
_xlfn._xlws.FILTER(
--_xlfn.TEXTBEFORE(
SUBSTITUTE(
SUBSTITUTE(PRICING[Min Qty],"+"," "),
"-"," "
),
" "
),
(PRICING[SKU]=$A9)*
(PRICING[Set]=2)*
(PRICING[Rebate $]&lt;&gt;0)*
(PRICING[Rebate $]&lt;&gt;"")
)
),
0
)</f>
        <v>0</v>
      </c>
      <c r="H9" s="5" cm="1">
        <f t="array" ref="H9">IFERROR(
MIN(
_xlfn._xlws.FILTER(
--_xlfn.TEXTBEFORE(
SUBSTITUTE(
SUBSTITUTE(PRICING[Min Qty],"+"," "),
"-"," "
),
" "
),
(PRICING[SKU]=$A9)*
(PRICING[Set]=3)*
(PRICING[Rebate $]&lt;&gt;0)*
(PRICING[Rebate $]&lt;&gt;"")
)
),
0
)</f>
        <v>0</v>
      </c>
      <c r="I9" s="5" cm="1">
        <f t="array" ref="I9">IFERROR(
MIN(
_xlfn._xlws.FILTER(
--_xlfn.TEXTBEFORE(
SUBSTITUTE(
SUBSTITUTE(PRICING[Min Qty],"+"," "),
"-"," "
),
" "
),
(PRICING[SKU]=$A9)*
(PRICING[Set]=4)*
(PRICING[Rebate $]&lt;&gt;0)*
(PRICING[Rebate $]&lt;&gt;"")
)
),
0
)</f>
        <v>0</v>
      </c>
      <c r="J9" s="5" cm="1">
        <f t="array" ref="J9">SUM(
    SUMIFS(
        PRICING[Rebate $],
        PRICING[Program],
        {"EOP/ORN","ORN","EOP","NOW","LL/NOW","LL/SLP/NOW","LL/SLP/EOP"},
        PRICING[SKU],
        Rebate_Lookup[[#This Row],[SKU CODE]],
        PRICING[Set],
        1
    )
)</f>
        <v>20</v>
      </c>
      <c r="K9" s="5" cm="1">
        <f t="array" ref="K9">SUM(
    SUMIFS(
        PRICING[Rebate $],
        PRICING[Program],
        {"EOP/ORN","ORN","EOP","NOW","LL/NOW","LL/SLP/NOW","LL/SLP/EOP"},
        PRICING[SKU],
        Rebate_Lookup[[#This Row],[SKU CODE]],
        PRICING[Set],
        2
    )
)</f>
        <v>0</v>
      </c>
      <c r="L9" s="5" cm="1">
        <f t="array" ref="L9">SUM(
    SUMIFS(
        PRICING[Rebate $],
        PRICING[Program],
        {"EOP/ORN","ORN","EOP","NOW","LL/NOW","LL/SLP/NOW","LL/SLP/EOP"},
        PRICING[SKU],
        Rebate_Lookup[[#This Row],[SKU CODE]],
        PRICING[Set],
        3
    )
)</f>
        <v>0</v>
      </c>
      <c r="M9" s="5" cm="1">
        <f t="array" ref="M9">SUM(
    SUMIFS(
        PRICING[Rebate $],
        PRICING[Program],
        {"EOP/ORN","ORN","EOP","NOW","LL/NOW","LL/SLP/NOW","LL/SLP/EOP"},
        PRICING[SKU],
        Rebate_Lookup[[#This Row],[SKU CODE]],
        PRICING[Set],
        4
    )
)</f>
        <v>0</v>
      </c>
      <c r="N9" s="5">
        <f>INDEX(Estimates!H:H,MATCH(Rebate_Lookup[[#This Row],[SKU CODE]],Estimates!A:A,0))</f>
        <v>0</v>
      </c>
      <c r="O9"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9" s="5">
        <f>COUNTIF(Estimates!A:A,Rebate_Lookup[[#This Row],[SKU CODE]])</f>
        <v>1</v>
      </c>
      <c r="Q9" s="6" t="b">
        <f>IFERROR(Rebate_Lookup[[#This Row],[Order Form Quantity]]&gt;=Rebate_Lookup[[#This Row],[MOQ_2]],0)</f>
        <v>1</v>
      </c>
    </row>
    <row r="10" spans="1:17" x14ac:dyDescent="0.2">
      <c r="A10" s="168" t="s">
        <v>52</v>
      </c>
      <c r="B10" s="5" t="str">
        <f>INDEX(PRICING[Agency/TT],MATCH(Rebate_Lookup[[#This Row],[SKU CODE]],PRICING[SKU],0))</f>
        <v>A</v>
      </c>
      <c r="C10" s="5" t="str">
        <f>INDEX(PRICING[Product],MATCH(Rebate_Lookup[[#This Row],[SKU CODE]],PRICING[SKU],0))</f>
        <v>Castlon®</v>
      </c>
      <c r="D10" s="5" t="str">
        <f>INDEX(PRICING[Size],MATCH(Rebate_Lookup[[#This Row],[SKU CODE]],PRICING[SKU],0))</f>
        <v>16 oz</v>
      </c>
      <c r="E10" s="5" cm="1">
        <f t="array" ref="E10">SUM(COUNTIFS(
    PRICING[Program],{"EOP/ORN","ORN","EOP","NOW","LL/NOW","LL/SLP/NOW","LL/SLP/EOP"},
    PRICING[SKU],A10
))</f>
        <v>1</v>
      </c>
      <c r="F10" s="5" cm="1">
        <f t="array" ref="F10">IFERROR(
MIN(
_xlfn._xlws.FILTER(
--_xlfn.TEXTBEFORE(
SUBSTITUTE(
SUBSTITUTE(PRICING[Min Qty],"+"," "),
"-"," "
),
" "
),
(PRICING[SKU]=$A10)*
(PRICING[Set]=1)*
(PRICING[Rebate $]&lt;&gt;0)*
(PRICING[Rebate $]&lt;&gt;"")
)
),
0
)</f>
        <v>0</v>
      </c>
      <c r="G10" s="5" cm="1">
        <f t="array" ref="G10">IFERROR(
MIN(
_xlfn._xlws.FILTER(
--_xlfn.TEXTBEFORE(
SUBSTITUTE(
SUBSTITUTE(PRICING[Min Qty],"+"," "),
"-"," "
),
" "
),
(PRICING[SKU]=$A10)*
(PRICING[Set]=2)*
(PRICING[Rebate $]&lt;&gt;0)*
(PRICING[Rebate $]&lt;&gt;"")
)
),
0
)</f>
        <v>0</v>
      </c>
      <c r="H10" s="5" cm="1">
        <f t="array" ref="H10">IFERROR(
MIN(
_xlfn._xlws.FILTER(
--_xlfn.TEXTBEFORE(
SUBSTITUTE(
SUBSTITUTE(PRICING[Min Qty],"+"," "),
"-"," "
),
" "
),
(PRICING[SKU]=$A10)*
(PRICING[Set]=3)*
(PRICING[Rebate $]&lt;&gt;0)*
(PRICING[Rebate $]&lt;&gt;"")
)
),
0
)</f>
        <v>0</v>
      </c>
      <c r="I10" s="5" cm="1">
        <f t="array" ref="I10">IFERROR(
MIN(
_xlfn._xlws.FILTER(
--_xlfn.TEXTBEFORE(
SUBSTITUTE(
SUBSTITUTE(PRICING[Min Qty],"+"," "),
"-"," "
),
" "
),
(PRICING[SKU]=$A10)*
(PRICING[Set]=4)*
(PRICING[Rebate $]&lt;&gt;0)*
(PRICING[Rebate $]&lt;&gt;"")
)
),
0
)</f>
        <v>0</v>
      </c>
      <c r="J10" s="5" cm="1">
        <f t="array" ref="J10">SUM(
    SUMIFS(
        PRICING[Rebate $],
        PRICING[Program],
        {"EOP/ORN","ORN","EOP","NOW","LL/NOW","LL/SLP/NOW","LL/SLP/EOP"},
        PRICING[SKU],
        Rebate_Lookup[[#This Row],[SKU CODE]],
        PRICING[Set],
        1
    )
)</f>
        <v>28</v>
      </c>
      <c r="K10" s="5" cm="1">
        <f t="array" ref="K10">SUM(
    SUMIFS(
        PRICING[Rebate $],
        PRICING[Program],
        {"EOP/ORN","ORN","EOP","NOW","LL/NOW","LL/SLP/NOW","LL/SLP/EOP"},
        PRICING[SKU],
        Rebate_Lookup[[#This Row],[SKU CODE]],
        PRICING[Set],
        2
    )
)</f>
        <v>0</v>
      </c>
      <c r="L10" s="5" cm="1">
        <f t="array" ref="L10">SUM(
    SUMIFS(
        PRICING[Rebate $],
        PRICING[Program],
        {"EOP/ORN","ORN","EOP","NOW","LL/NOW","LL/SLP/NOW","LL/SLP/EOP"},
        PRICING[SKU],
        Rebate_Lookup[[#This Row],[SKU CODE]],
        PRICING[Set],
        3
    )
)</f>
        <v>0</v>
      </c>
      <c r="M10" s="5" cm="1">
        <f t="array" ref="M10">SUM(
    SUMIFS(
        PRICING[Rebate $],
        PRICING[Program],
        {"EOP/ORN","ORN","EOP","NOW","LL/NOW","LL/SLP/NOW","LL/SLP/EOP"},
        PRICING[SKU],
        Rebate_Lookup[[#This Row],[SKU CODE]],
        PRICING[Set],
        4
    )
)</f>
        <v>0</v>
      </c>
      <c r="N10" s="5">
        <f>INDEX(Estimates!H:H,MATCH(Rebate_Lookup[[#This Row],[SKU CODE]],Estimates!A:A,0))</f>
        <v>0</v>
      </c>
      <c r="O10"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10" s="5">
        <f>COUNTIF(Estimates!A:A,Rebate_Lookup[[#This Row],[SKU CODE]])</f>
        <v>1</v>
      </c>
      <c r="Q10" s="6" t="b">
        <f>IFERROR(Rebate_Lookup[[#This Row],[Order Form Quantity]]&gt;=Rebate_Lookup[[#This Row],[MOQ_2]],0)</f>
        <v>1</v>
      </c>
    </row>
    <row r="11" spans="1:17" x14ac:dyDescent="0.2">
      <c r="A11" s="168" t="s">
        <v>53</v>
      </c>
      <c r="B11" s="5" t="str">
        <f>INDEX(PRICING[Agency/TT],MATCH(Rebate_Lookup[[#This Row],[SKU CODE]],PRICING[SKU],0))</f>
        <v>A</v>
      </c>
      <c r="C11" s="5" t="str">
        <f>INDEX(PRICING[Product],MATCH(Rebate_Lookup[[#This Row],[SKU CODE]],PRICING[SKU],0))</f>
        <v>Castlon®</v>
      </c>
      <c r="D11" s="5" t="str">
        <f>INDEX(PRICING[Size],MATCH(Rebate_Lookup[[#This Row],[SKU CODE]],PRICING[SKU],0))</f>
        <v>1 gal</v>
      </c>
      <c r="E11" s="5" cm="1">
        <f t="array" ref="E11">SUM(COUNTIFS(
    PRICING[Program],{"EOP/ORN","ORN","EOP","NOW","LL/NOW","LL/SLP/NOW","LL/SLP/EOP"},
    PRICING[SKU],A11
))</f>
        <v>1</v>
      </c>
      <c r="F11" s="5" cm="1">
        <f t="array" ref="F11">IFERROR(
MIN(
_xlfn._xlws.FILTER(
--_xlfn.TEXTBEFORE(
SUBSTITUTE(
SUBSTITUTE(PRICING[Min Qty],"+"," "),
"-"," "
),
" "
),
(PRICING[SKU]=$A11)*
(PRICING[Set]=1)*
(PRICING[Rebate $]&lt;&gt;0)*
(PRICING[Rebate $]&lt;&gt;"")
)
),
0
)</f>
        <v>1</v>
      </c>
      <c r="G11" s="5" cm="1">
        <f t="array" ref="G11">IFERROR(
MIN(
_xlfn._xlws.FILTER(
--_xlfn.TEXTBEFORE(
SUBSTITUTE(
SUBSTITUTE(PRICING[Min Qty],"+"," "),
"-"," "
),
" "
),
(PRICING[SKU]=$A11)*
(PRICING[Set]=2)*
(PRICING[Rebate $]&lt;&gt;0)*
(PRICING[Rebate $]&lt;&gt;"")
)
),
0
)</f>
        <v>0</v>
      </c>
      <c r="H11" s="5" cm="1">
        <f t="array" ref="H11">IFERROR(
MIN(
_xlfn._xlws.FILTER(
--_xlfn.TEXTBEFORE(
SUBSTITUTE(
SUBSTITUTE(PRICING[Min Qty],"+"," "),
"-"," "
),
" "
),
(PRICING[SKU]=$A11)*
(PRICING[Set]=3)*
(PRICING[Rebate $]&lt;&gt;0)*
(PRICING[Rebate $]&lt;&gt;"")
)
),
0
)</f>
        <v>0</v>
      </c>
      <c r="I11" s="5" cm="1">
        <f t="array" ref="I11">IFERROR(
MIN(
_xlfn._xlws.FILTER(
--_xlfn.TEXTBEFORE(
SUBSTITUTE(
SUBSTITUTE(PRICING[Min Qty],"+"," "),
"-"," "
),
" "
),
(PRICING[SKU]=$A11)*
(PRICING[Set]=4)*
(PRICING[Rebate $]&lt;&gt;0)*
(PRICING[Rebate $]&lt;&gt;"")
)
),
0
)</f>
        <v>0</v>
      </c>
      <c r="J11" s="5" cm="1">
        <f t="array" ref="J11">SUM(
    SUMIFS(
        PRICING[Rebate $],
        PRICING[Program],
        {"EOP/ORN","ORN","EOP","NOW","LL/NOW","LL/SLP/NOW","LL/SLP/EOP"},
        PRICING[SKU],
        Rebate_Lookup[[#This Row],[SKU CODE]],
        PRICING[Set],
        1
    )
)</f>
        <v>100</v>
      </c>
      <c r="K11" s="5" cm="1">
        <f t="array" ref="K11">SUM(
    SUMIFS(
        PRICING[Rebate $],
        PRICING[Program],
        {"EOP/ORN","ORN","EOP","NOW","LL/NOW","LL/SLP/NOW","LL/SLP/EOP"},
        PRICING[SKU],
        Rebate_Lookup[[#This Row],[SKU CODE]],
        PRICING[Set],
        2
    )
)</f>
        <v>0</v>
      </c>
      <c r="L11" s="5" cm="1">
        <f t="array" ref="L11">SUM(
    SUMIFS(
        PRICING[Rebate $],
        PRICING[Program],
        {"EOP/ORN","ORN","EOP","NOW","LL/NOW","LL/SLP/NOW","LL/SLP/EOP"},
        PRICING[SKU],
        Rebate_Lookup[[#This Row],[SKU CODE]],
        PRICING[Set],
        3
    )
)</f>
        <v>0</v>
      </c>
      <c r="M11" s="5" cm="1">
        <f t="array" ref="M11">SUM(
    SUMIFS(
        PRICING[Rebate $],
        PRICING[Program],
        {"EOP/ORN","ORN","EOP","NOW","LL/NOW","LL/SLP/NOW","LL/SLP/EOP"},
        PRICING[SKU],
        Rebate_Lookup[[#This Row],[SKU CODE]],
        PRICING[Set],
        4
    )
)</f>
        <v>0</v>
      </c>
      <c r="N11" s="5">
        <f>INDEX(Estimates!H:H,MATCH(Rebate_Lookup[[#This Row],[SKU CODE]],Estimates!A:A,0))</f>
        <v>0</v>
      </c>
      <c r="O11" s="5"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11" s="5">
        <f>COUNTIF(Estimates!A:A,Rebate_Lookup[[#This Row],[SKU CODE]])</f>
        <v>1</v>
      </c>
      <c r="Q11" s="6" t="b">
        <f>IFERROR(Rebate_Lookup[[#This Row],[Order Form Quantity]]&gt;=Rebate_Lookup[[#This Row],[MOQ_2]],0)</f>
        <v>1</v>
      </c>
    </row>
    <row r="12" spans="1:17" x14ac:dyDescent="0.2">
      <c r="A12" s="168" t="s">
        <v>54</v>
      </c>
      <c r="B12" s="5" t="str">
        <f>INDEX(PRICING[Agency/TT],MATCH(Rebate_Lookup[[#This Row],[SKU CODE]],PRICING[SKU],0))</f>
        <v>A</v>
      </c>
      <c r="C12" s="5" t="str">
        <f>INDEX(PRICING[Product],MATCH(Rebate_Lookup[[#This Row],[SKU CODE]],PRICING[SKU],0))</f>
        <v>Celsius® WG</v>
      </c>
      <c r="D12" s="5" t="str">
        <f>INDEX(PRICING[Size],MATCH(Rebate_Lookup[[#This Row],[SKU CODE]],PRICING[SKU],0))</f>
        <v>10 oz</v>
      </c>
      <c r="E12" s="5" cm="1">
        <f t="array" ref="E12">SUM(COUNTIFS(
    PRICING[Program],{"EOP/ORN","ORN","EOP","NOW","LL/NOW","LL/SLP/NOW","LL/SLP/EOP"},
    PRICING[SKU],A12
))</f>
        <v>2</v>
      </c>
      <c r="F12" s="5" cm="1">
        <f t="array" ref="F12">IFERROR(
MIN(
_xlfn._xlws.FILTER(
--_xlfn.TEXTBEFORE(
SUBSTITUTE(
SUBSTITUTE(PRICING[Min Qty],"+"," "),
"-"," "
),
" "
),
(PRICING[SKU]=$A12)*
(PRICING[Set]=1)*
(PRICING[Rebate $]&lt;&gt;0)*
(PRICING[Rebate $]&lt;&gt;"")
)
),
0
)</f>
        <v>0</v>
      </c>
      <c r="G12" s="5" cm="1">
        <f t="array" ref="G12">IFERROR(
MIN(
_xlfn._xlws.FILTER(
--_xlfn.TEXTBEFORE(
SUBSTITUTE(
SUBSTITUTE(PRICING[Min Qty],"+"," "),
"-"," "
),
" "
),
(PRICING[SKU]=$A12)*
(PRICING[Set]=2)*
(PRICING[Rebate $]&lt;&gt;0)*
(PRICING[Rebate $]&lt;&gt;"")
)
),
0
)</f>
        <v>16</v>
      </c>
      <c r="H12" s="5" cm="1">
        <f t="array" ref="H12">IFERROR(
MIN(
_xlfn._xlws.FILTER(
--_xlfn.TEXTBEFORE(
SUBSTITUTE(
SUBSTITUTE(PRICING[Min Qty],"+"," "),
"-"," "
),
" "
),
(PRICING[SKU]=$A12)*
(PRICING[Set]=3)*
(PRICING[Rebate $]&lt;&gt;0)*
(PRICING[Rebate $]&lt;&gt;"")
)
),
0
)</f>
        <v>0</v>
      </c>
      <c r="I12" s="5" cm="1">
        <f t="array" ref="I12">IFERROR(
MIN(
_xlfn._xlws.FILTER(
--_xlfn.TEXTBEFORE(
SUBSTITUTE(
SUBSTITUTE(PRICING[Min Qty],"+"," "),
"-"," "
),
" "
),
(PRICING[SKU]=$A12)*
(PRICING[Set]=4)*
(PRICING[Rebate $]&lt;&gt;0)*
(PRICING[Rebate $]&lt;&gt;"")
)
),
0
)</f>
        <v>0</v>
      </c>
      <c r="J12" s="5" cm="1">
        <f t="array" ref="J12">SUM(
    SUMIFS(
        PRICING[Rebate $],
        PRICING[Program],
        {"EOP/ORN","ORN","EOP","NOW","LL/NOW","LL/SLP/NOW","LL/SLP/EOP"},
        PRICING[SKU],
        Rebate_Lookup[[#This Row],[SKU CODE]],
        PRICING[Set],
        1
    )
)</f>
        <v>0</v>
      </c>
      <c r="K12" s="5" cm="1">
        <f t="array" ref="K12">SUM(
    SUMIFS(
        PRICING[Rebate $],
        PRICING[Program],
        {"EOP/ORN","ORN","EOP","NOW","LL/NOW","LL/SLP/NOW","LL/SLP/EOP"},
        PRICING[SKU],
        Rebate_Lookup[[#This Row],[SKU CODE]],
        PRICING[Set],
        2
    )
)</f>
        <v>5</v>
      </c>
      <c r="L12" s="5" cm="1">
        <f t="array" ref="L12">SUM(
    SUMIFS(
        PRICING[Rebate $],
        PRICING[Program],
        {"EOP/ORN","ORN","EOP","NOW","LL/NOW","LL/SLP/NOW","LL/SLP/EOP"},
        PRICING[SKU],
        Rebate_Lookup[[#This Row],[SKU CODE]],
        PRICING[Set],
        3
    )
)</f>
        <v>0</v>
      </c>
      <c r="M12" s="5" cm="1">
        <f t="array" ref="M12">SUM(
    SUMIFS(
        PRICING[Rebate $],
        PRICING[Program],
        {"EOP/ORN","ORN","EOP","NOW","LL/NOW","LL/SLP/NOW","LL/SLP/EOP"},
        PRICING[SKU],
        Rebate_Lookup[[#This Row],[SKU CODE]],
        PRICING[Set],
        4
    )
)</f>
        <v>0</v>
      </c>
      <c r="N12" s="5">
        <f>INDEX(Estimates!H:H,MATCH(Rebate_Lookup[[#This Row],[SKU CODE]],Estimates!A:A,0))</f>
        <v>0</v>
      </c>
      <c r="O12"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12" s="5">
        <f>COUNTIF(Estimates!A:A,Rebate_Lookup[[#This Row],[SKU CODE]])</f>
        <v>1</v>
      </c>
      <c r="Q12" s="6" t="b">
        <f>IFERROR(Rebate_Lookup[[#This Row],[Order Form Quantity]]&gt;=Rebate_Lookup[[#This Row],[MOQ_2]],0)</f>
        <v>0</v>
      </c>
    </row>
    <row r="13" spans="1:17" x14ac:dyDescent="0.2">
      <c r="A13" s="168" t="s">
        <v>55</v>
      </c>
      <c r="B13" s="5" t="str">
        <f>INDEX(PRICING[Agency/TT],MATCH(Rebate_Lookup[[#This Row],[SKU CODE]],PRICING[SKU],0))</f>
        <v>A</v>
      </c>
      <c r="C13" s="5" t="str">
        <f>INDEX(PRICING[Product],MATCH(Rebate_Lookup[[#This Row],[SKU CODE]],PRICING[SKU],0))</f>
        <v>Celsius® XTRA</v>
      </c>
      <c r="D13" s="5" t="str">
        <f>INDEX(PRICING[Size],MATCH(Rebate_Lookup[[#This Row],[SKU CODE]],PRICING[SKU],0))</f>
        <v>10 oz</v>
      </c>
      <c r="E13" s="5" cm="1">
        <f t="array" ref="E13">SUM(COUNTIFS(
    PRICING[Program],{"EOP/ORN","ORN","EOP","NOW","LL/NOW","LL/SLP/NOW","LL/SLP/EOP"},
    PRICING[SKU],A13
))</f>
        <v>2</v>
      </c>
      <c r="F13" s="5" cm="1">
        <f t="array" ref="F13">IFERROR(
MIN(
_xlfn._xlws.FILTER(
--_xlfn.TEXTBEFORE(
SUBSTITUTE(
SUBSTITUTE(PRICING[Min Qty],"+"," "),
"-"," "
),
" "
),
(PRICING[SKU]=$A13)*
(PRICING[Set]=1)*
(PRICING[Rebate $]&lt;&gt;0)*
(PRICING[Rebate $]&lt;&gt;"")
)
),
0
)</f>
        <v>0</v>
      </c>
      <c r="G13" s="5" cm="1">
        <f t="array" ref="G13">IFERROR(
MIN(
_xlfn._xlws.FILTER(
--_xlfn.TEXTBEFORE(
SUBSTITUTE(
SUBSTITUTE(PRICING[Min Qty],"+"," "),
"-"," "
),
" "
),
(PRICING[SKU]=$A13)*
(PRICING[Set]=2)*
(PRICING[Rebate $]&lt;&gt;0)*
(PRICING[Rebate $]&lt;&gt;"")
)
),
0
)</f>
        <v>16</v>
      </c>
      <c r="H13" s="5" cm="1">
        <f t="array" ref="H13">IFERROR(
MIN(
_xlfn._xlws.FILTER(
--_xlfn.TEXTBEFORE(
SUBSTITUTE(
SUBSTITUTE(PRICING[Min Qty],"+"," "),
"-"," "
),
" "
),
(PRICING[SKU]=$A13)*
(PRICING[Set]=3)*
(PRICING[Rebate $]&lt;&gt;0)*
(PRICING[Rebate $]&lt;&gt;"")
)
),
0
)</f>
        <v>0</v>
      </c>
      <c r="I13" s="5" cm="1">
        <f t="array" ref="I13">IFERROR(
MIN(
_xlfn._xlws.FILTER(
--_xlfn.TEXTBEFORE(
SUBSTITUTE(
SUBSTITUTE(PRICING[Min Qty],"+"," "),
"-"," "
),
" "
),
(PRICING[SKU]=$A13)*
(PRICING[Set]=4)*
(PRICING[Rebate $]&lt;&gt;0)*
(PRICING[Rebate $]&lt;&gt;"")
)
),
0
)</f>
        <v>0</v>
      </c>
      <c r="J13" s="5" cm="1">
        <f t="array" ref="J13">SUM(
    SUMIFS(
        PRICING[Rebate $],
        PRICING[Program],
        {"EOP/ORN","ORN","EOP","NOW","LL/NOW","LL/SLP/NOW","LL/SLP/EOP"},
        PRICING[SKU],
        Rebate_Lookup[[#This Row],[SKU CODE]],
        PRICING[Set],
        1
    )
)</f>
        <v>0</v>
      </c>
      <c r="K13" s="5" cm="1">
        <f t="array" ref="K13">SUM(
    SUMIFS(
        PRICING[Rebate $],
        PRICING[Program],
        {"EOP/ORN","ORN","EOP","NOW","LL/NOW","LL/SLP/NOW","LL/SLP/EOP"},
        PRICING[SKU],
        Rebate_Lookup[[#This Row],[SKU CODE]],
        PRICING[Set],
        2
    )
)</f>
        <v>7</v>
      </c>
      <c r="L13" s="5" cm="1">
        <f t="array" ref="L13">SUM(
    SUMIFS(
        PRICING[Rebate $],
        PRICING[Program],
        {"EOP/ORN","ORN","EOP","NOW","LL/NOW","LL/SLP/NOW","LL/SLP/EOP"},
        PRICING[SKU],
        Rebate_Lookup[[#This Row],[SKU CODE]],
        PRICING[Set],
        3
    )
)</f>
        <v>0</v>
      </c>
      <c r="M13" s="5" cm="1">
        <f t="array" ref="M13">SUM(
    SUMIFS(
        PRICING[Rebate $],
        PRICING[Program],
        {"EOP/ORN","ORN","EOP","NOW","LL/NOW","LL/SLP/NOW","LL/SLP/EOP"},
        PRICING[SKU],
        Rebate_Lookup[[#This Row],[SKU CODE]],
        PRICING[Set],
        4
    )
)</f>
        <v>0</v>
      </c>
      <c r="N13" s="5">
        <f>INDEX(Estimates!H:H,MATCH(Rebate_Lookup[[#This Row],[SKU CODE]],Estimates!A:A,0))</f>
        <v>0</v>
      </c>
      <c r="O13"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13" s="5">
        <f>COUNTIF(Estimates!A:A,Rebate_Lookup[[#This Row],[SKU CODE]])</f>
        <v>1</v>
      </c>
      <c r="Q13" s="6" t="b">
        <f>IFERROR(Rebate_Lookup[[#This Row],[Order Form Quantity]]&gt;=Rebate_Lookup[[#This Row],[MOQ_2]],0)</f>
        <v>0</v>
      </c>
    </row>
    <row r="14" spans="1:17" hidden="1" x14ac:dyDescent="0.2">
      <c r="A14" s="168">
        <v>4251007</v>
      </c>
      <c r="B14" s="5" t="str">
        <f>INDEX(PRICING[Agency/TT],MATCH(Rebate_Lookup[[#This Row],[SKU CODE]],PRICING[SKU],0))</f>
        <v>TT</v>
      </c>
      <c r="C14" s="5" t="str">
        <f>INDEX(PRICING[Product],MATCH(Rebate_Lookup[[#This Row],[SKU CODE]],PRICING[SKU],0))</f>
        <v>Chipco® 26019 FLO</v>
      </c>
      <c r="D14" s="5" t="str">
        <f>INDEX(PRICING[Size],MATCH(Rebate_Lookup[[#This Row],[SKU CODE]],PRICING[SKU],0))</f>
        <v>2.5 gal</v>
      </c>
      <c r="E14" s="5" cm="1">
        <f t="array" ref="E14">SUM(COUNTIFS(
    PRICING[Program],{"EOP/ORN","ORN","EOP","NOW","LL/NOW","LL/SLP/NOW","LL/SLP/EOP"},
    PRICING[SKU],A14
))</f>
        <v>1</v>
      </c>
      <c r="F14" s="5" cm="1">
        <f t="array" ref="F14">IFERROR(
MIN(
_xlfn._xlws.FILTER(
--_xlfn.TEXTBEFORE(
SUBSTITUTE(
SUBSTITUTE(PRICING[Min Qty],"+"," "),
"-"," "
),
" "
),
(PRICING[SKU]=$A14)*
(PRICING[Set]=1)*
(PRICING[Rebate $]&lt;&gt;0)*
(PRICING[Rebate $]&lt;&gt;"")
)
),
0
)</f>
        <v>0</v>
      </c>
      <c r="G14" s="5" cm="1">
        <f t="array" ref="G14">IFERROR(
MIN(
_xlfn._xlws.FILTER(
--_xlfn.TEXTBEFORE(
SUBSTITUTE(
SUBSTITUTE(PRICING[Min Qty],"+"," "),
"-"," "
),
" "
),
(PRICING[SKU]=$A14)*
(PRICING[Set]=2)*
(PRICING[Rebate $]&lt;&gt;0)*
(PRICING[Rebate $]&lt;&gt;"")
)
),
0
)</f>
        <v>0</v>
      </c>
      <c r="H14" s="5" cm="1">
        <f t="array" ref="H14">IFERROR(
MIN(
_xlfn._xlws.FILTER(
--_xlfn.TEXTBEFORE(
SUBSTITUTE(
SUBSTITUTE(PRICING[Min Qty],"+"," "),
"-"," "
),
" "
),
(PRICING[SKU]=$A14)*
(PRICING[Set]=3)*
(PRICING[Rebate $]&lt;&gt;0)*
(PRICING[Rebate $]&lt;&gt;"")
)
),
0
)</f>
        <v>0</v>
      </c>
      <c r="I14" s="5" cm="1">
        <f t="array" ref="I14">IFERROR(
MIN(
_xlfn._xlws.FILTER(
--_xlfn.TEXTBEFORE(
SUBSTITUTE(
SUBSTITUTE(PRICING[Min Qty],"+"," "),
"-"," "
),
" "
),
(PRICING[SKU]=$A14)*
(PRICING[Set]=4)*
(PRICING[Rebate $]&lt;&gt;0)*
(PRICING[Rebate $]&lt;&gt;"")
)
),
0
)</f>
        <v>0</v>
      </c>
      <c r="J14" s="5" cm="1">
        <f t="array" ref="J14">SUM(
    SUMIFS(
        PRICING[Rebate $],
        PRICING[Program],
        {"EOP/ORN","ORN","EOP","NOW","LL/NOW","LL/SLP/NOW","LL/SLP/EOP"},
        PRICING[SKU],
        Rebate_Lookup[[#This Row],[SKU CODE]],
        PRICING[Set],
        1
    )
)</f>
        <v>0</v>
      </c>
      <c r="K14" s="5" cm="1">
        <f t="array" ref="K14">SUM(
    SUMIFS(
        PRICING[Rebate $],
        PRICING[Program],
        {"EOP/ORN","ORN","EOP","NOW","LL/NOW","LL/SLP/NOW","LL/SLP/EOP"},
        PRICING[SKU],
        Rebate_Lookup[[#This Row],[SKU CODE]],
        PRICING[Set],
        2
    )
)</f>
        <v>0</v>
      </c>
      <c r="L14" s="5" cm="1">
        <f t="array" ref="L14">SUM(
    SUMIFS(
        PRICING[Rebate $],
        PRICING[Program],
        {"EOP/ORN","ORN","EOP","NOW","LL/NOW","LL/SLP/NOW","LL/SLP/EOP"},
        PRICING[SKU],
        Rebate_Lookup[[#This Row],[SKU CODE]],
        PRICING[Set],
        3
    )
)</f>
        <v>0</v>
      </c>
      <c r="M14" s="5" cm="1">
        <f t="array" ref="M14">SUM(
    SUMIFS(
        PRICING[Rebate $],
        PRICING[Program],
        {"EOP/ORN","ORN","EOP","NOW","LL/NOW","LL/SLP/NOW","LL/SLP/EOP"},
        PRICING[SKU],
        Rebate_Lookup[[#This Row],[SKU CODE]],
        PRICING[Set],
        4
    )
)</f>
        <v>0</v>
      </c>
      <c r="N14" s="5">
        <f>INDEX(Estimates!H:H,MATCH(Rebate_Lookup[[#This Row],[SKU CODE]],Estimates!A:A,0))</f>
        <v>0</v>
      </c>
      <c r="O14"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14" s="5">
        <f>COUNTIF(Estimates!A:A,Rebate_Lookup[[#This Row],[SKU CODE]])</f>
        <v>1</v>
      </c>
      <c r="Q14" s="6" t="b">
        <f>IFERROR(Rebate_Lookup[[#This Row],[Order Form Quantity]]&gt;=Rebate_Lookup[[#This Row],[MOQ_2]],0)</f>
        <v>1</v>
      </c>
    </row>
    <row r="15" spans="1:17" hidden="1" x14ac:dyDescent="0.2">
      <c r="A15" s="165" t="s">
        <v>90</v>
      </c>
      <c r="B15" s="5" t="str">
        <f>INDEX(PRICING[Agency/TT],MATCH(Rebate_Lookup[[#This Row],[SKU CODE]],PRICING[SKU],0))</f>
        <v>TT</v>
      </c>
      <c r="C15" s="5" t="str">
        <f>INDEX(PRICING[Product],MATCH(Rebate_Lookup[[#This Row],[SKU CODE]],PRICING[SKU],0))</f>
        <v>Chipco® Choice</v>
      </c>
      <c r="D15" s="5" t="str">
        <f>INDEX(PRICING[Size],MATCH(Rebate_Lookup[[#This Row],[SKU CODE]],PRICING[SKU],0))</f>
        <v>50 lb</v>
      </c>
      <c r="E15" s="5" cm="1">
        <f t="array" ref="E15">SUM(COUNTIFS(
    PRICING[Program],{"EOP/ORN","ORN","EOP","NOW","LL/NOW","LL/SLP/NOW","LL/SLP/EOP"},
    PRICING[SKU],A15
))</f>
        <v>1</v>
      </c>
      <c r="F15" s="5" cm="1">
        <f t="array" ref="F15">IFERROR(
MIN(
_xlfn._xlws.FILTER(
--_xlfn.TEXTBEFORE(
SUBSTITUTE(
SUBSTITUTE(PRICING[Min Qty],"+"," "),
"-"," "
),
" "
),
(PRICING[SKU]=$A15)*
(PRICING[Set]=1)*
(PRICING[Rebate $]&lt;&gt;0)*
(PRICING[Rebate $]&lt;&gt;"")
)
),
0
)</f>
        <v>0</v>
      </c>
      <c r="G15" s="5" cm="1">
        <f t="array" ref="G15">IFERROR(
MIN(
_xlfn._xlws.FILTER(
--_xlfn.TEXTBEFORE(
SUBSTITUTE(
SUBSTITUTE(PRICING[Min Qty],"+"," "),
"-"," "
),
" "
),
(PRICING[SKU]=$A15)*
(PRICING[Set]=2)*
(PRICING[Rebate $]&lt;&gt;0)*
(PRICING[Rebate $]&lt;&gt;"")
)
),
0
)</f>
        <v>0</v>
      </c>
      <c r="H15" s="5" cm="1">
        <f t="array" ref="H15">IFERROR(
MIN(
_xlfn._xlws.FILTER(
--_xlfn.TEXTBEFORE(
SUBSTITUTE(
SUBSTITUTE(PRICING[Min Qty],"+"," "),
"-"," "
),
" "
),
(PRICING[SKU]=$A15)*
(PRICING[Set]=3)*
(PRICING[Rebate $]&lt;&gt;0)*
(PRICING[Rebate $]&lt;&gt;"")
)
),
0
)</f>
        <v>0</v>
      </c>
      <c r="I15" s="5" cm="1">
        <f t="array" ref="I15">IFERROR(
MIN(
_xlfn._xlws.FILTER(
--_xlfn.TEXTBEFORE(
SUBSTITUTE(
SUBSTITUTE(PRICING[Min Qty],"+"," "),
"-"," "
),
" "
),
(PRICING[SKU]=$A15)*
(PRICING[Set]=4)*
(PRICING[Rebate $]&lt;&gt;0)*
(PRICING[Rebate $]&lt;&gt;"")
)
),
0
)</f>
        <v>0</v>
      </c>
      <c r="J15" s="5" cm="1">
        <f t="array" ref="J15">SUM(
    SUMIFS(
        PRICING[Rebate $],
        PRICING[Program],
        {"EOP/ORN","ORN","EOP","NOW","LL/NOW","LL/SLP/NOW","LL/SLP/EOP"},
        PRICING[SKU],
        Rebate_Lookup[[#This Row],[SKU CODE]],
        PRICING[Set],
        1
    )
)</f>
        <v>0</v>
      </c>
      <c r="K15" s="5" cm="1">
        <f t="array" ref="K15">SUM(
    SUMIFS(
        PRICING[Rebate $],
        PRICING[Program],
        {"EOP/ORN","ORN","EOP","NOW","LL/NOW","LL/SLP/NOW","LL/SLP/EOP"},
        PRICING[SKU],
        Rebate_Lookup[[#This Row],[SKU CODE]],
        PRICING[Set],
        2
    )
)</f>
        <v>0</v>
      </c>
      <c r="L15" s="5" cm="1">
        <f t="array" ref="L15">SUM(
    SUMIFS(
        PRICING[Rebate $],
        PRICING[Program],
        {"EOP/ORN","ORN","EOP","NOW","LL/NOW","LL/SLP/NOW","LL/SLP/EOP"},
        PRICING[SKU],
        Rebate_Lookup[[#This Row],[SKU CODE]],
        PRICING[Set],
        3
    )
)</f>
        <v>0</v>
      </c>
      <c r="M15" s="5" cm="1">
        <f t="array" ref="M15">SUM(
    SUMIFS(
        PRICING[Rebate $],
        PRICING[Program],
        {"EOP/ORN","ORN","EOP","NOW","LL/NOW","LL/SLP/NOW","LL/SLP/EOP"},
        PRICING[SKU],
        Rebate_Lookup[[#This Row],[SKU CODE]],
        PRICING[Set],
        4
    )
)</f>
        <v>0</v>
      </c>
      <c r="N15" s="5">
        <f>INDEX(Estimates!H:H,MATCH(Rebate_Lookup[[#This Row],[SKU CODE]],Estimates!A:A,0))</f>
        <v>0</v>
      </c>
      <c r="O15"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15" s="5">
        <f>COUNTIF(Estimates!A:A,Rebate_Lookup[[#This Row],[SKU CODE]])</f>
        <v>1</v>
      </c>
      <c r="Q15" s="6" t="b">
        <f>IFERROR(Rebate_Lookup[[#This Row],[Order Form Quantity]]&gt;=Rebate_Lookup[[#This Row],[MOQ_2]],0)</f>
        <v>1</v>
      </c>
    </row>
    <row r="16" spans="1:17" x14ac:dyDescent="0.2">
      <c r="A16" s="168" t="s">
        <v>56</v>
      </c>
      <c r="B16" s="5" t="str">
        <f>INDEX(PRICING[Agency/TT],MATCH(Rebate_Lookup[[#This Row],[SKU CODE]],PRICING[SKU],0))</f>
        <v>A</v>
      </c>
      <c r="C16" s="5" t="str">
        <f>INDEX(PRICING[Product],MATCH(Rebate_Lookup[[#This Row],[SKU CODE]],PRICING[SKU],0))</f>
        <v>Chipco® Signature™</v>
      </c>
      <c r="D16" s="5" t="str">
        <f>INDEX(PRICING[Size],MATCH(Rebate_Lookup[[#This Row],[SKU CODE]],PRICING[SKU],0))</f>
        <v>11 lb</v>
      </c>
      <c r="E16" s="5" cm="1">
        <f t="array" ref="E16">SUM(COUNTIFS(
    PRICING[Program],{"EOP/ORN","ORN","EOP","NOW","LL/NOW","LL/SLP/NOW","LL/SLP/EOP"},
    PRICING[SKU],A16
))</f>
        <v>2</v>
      </c>
      <c r="F16" s="5" cm="1">
        <f t="array" ref="F16">IFERROR(
MIN(
_xlfn._xlws.FILTER(
--_xlfn.TEXTBEFORE(
SUBSTITUTE(
SUBSTITUTE(PRICING[Min Qty],"+"," "),
"-"," "
),
" "
),
(PRICING[SKU]=$A16)*
(PRICING[Set]=1)*
(PRICING[Rebate $]&lt;&gt;0)*
(PRICING[Rebate $]&lt;&gt;"")
)
),
0
)</f>
        <v>1</v>
      </c>
      <c r="G16" s="5" cm="1">
        <f t="array" ref="G16">IFERROR(
MIN(
_xlfn._xlws.FILTER(
--_xlfn.TEXTBEFORE(
SUBSTITUTE(
SUBSTITUTE(PRICING[Min Qty],"+"," "),
"-"," "
),
" "
),
(PRICING[SKU]=$A16)*
(PRICING[Set]=2)*
(PRICING[Rebate $]&lt;&gt;0)*
(PRICING[Rebate $]&lt;&gt;"")
)
),
0
)</f>
        <v>12</v>
      </c>
      <c r="H16" s="5" cm="1">
        <f t="array" ref="H16">IFERROR(
MIN(
_xlfn._xlws.FILTER(
--_xlfn.TEXTBEFORE(
SUBSTITUTE(
SUBSTITUTE(PRICING[Min Qty],"+"," "),
"-"," "
),
" "
),
(PRICING[SKU]=$A16)*
(PRICING[Set]=3)*
(PRICING[Rebate $]&lt;&gt;0)*
(PRICING[Rebate $]&lt;&gt;"")
)
),
0
)</f>
        <v>0</v>
      </c>
      <c r="I16" s="5" cm="1">
        <f t="array" ref="I16">IFERROR(
MIN(
_xlfn._xlws.FILTER(
--_xlfn.TEXTBEFORE(
SUBSTITUTE(
SUBSTITUTE(PRICING[Min Qty],"+"," "),
"-"," "
),
" "
),
(PRICING[SKU]=$A16)*
(PRICING[Set]=4)*
(PRICING[Rebate $]&lt;&gt;0)*
(PRICING[Rebate $]&lt;&gt;"")
)
),
0
)</f>
        <v>0</v>
      </c>
      <c r="J16" s="5" cm="1">
        <f t="array" ref="J16">SUM(
    SUMIFS(
        PRICING[Rebate $],
        PRICING[Program],
        {"EOP/ORN","ORN","EOP","NOW","LL/NOW","LL/SLP/NOW","LL/SLP/EOP"},
        PRICING[SKU],
        Rebate_Lookup[[#This Row],[SKU CODE]],
        PRICING[Set],
        1
    )
)</f>
        <v>8</v>
      </c>
      <c r="K16" s="5" cm="1">
        <f t="array" ref="K16">SUM(
    SUMIFS(
        PRICING[Rebate $],
        PRICING[Program],
        {"EOP/ORN","ORN","EOP","NOW","LL/NOW","LL/SLP/NOW","LL/SLP/EOP"},
        PRICING[SKU],
        Rebate_Lookup[[#This Row],[SKU CODE]],
        PRICING[Set],
        2
    )
)</f>
        <v>24</v>
      </c>
      <c r="L16" s="5" cm="1">
        <f t="array" ref="L16">SUM(
    SUMIFS(
        PRICING[Rebate $],
        PRICING[Program],
        {"EOP/ORN","ORN","EOP","NOW","LL/NOW","LL/SLP/NOW","LL/SLP/EOP"},
        PRICING[SKU],
        Rebate_Lookup[[#This Row],[SKU CODE]],
        PRICING[Set],
        3
    )
)</f>
        <v>0</v>
      </c>
      <c r="M16" s="5" cm="1">
        <f t="array" ref="M16">SUM(
    SUMIFS(
        PRICING[Rebate $],
        PRICING[Program],
        {"EOP/ORN","ORN","EOP","NOW","LL/NOW","LL/SLP/NOW","LL/SLP/EOP"},
        PRICING[SKU],
        Rebate_Lookup[[#This Row],[SKU CODE]],
        PRICING[Set],
        4
    )
)</f>
        <v>0</v>
      </c>
      <c r="N16" s="5">
        <f>INDEX(Estimates!H:H,MATCH(Rebate_Lookup[[#This Row],[SKU CODE]],Estimates!A:A,0))</f>
        <v>0</v>
      </c>
      <c r="O16" s="5"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16" s="5">
        <f>COUNTIF(Estimates!A:A,Rebate_Lookup[[#This Row],[SKU CODE]])</f>
        <v>1</v>
      </c>
      <c r="Q16" s="6" t="b">
        <f>IFERROR(Rebate_Lookup[[#This Row],[Order Form Quantity]]&gt;=Rebate_Lookup[[#This Row],[MOQ_2]],0)</f>
        <v>0</v>
      </c>
    </row>
    <row r="17" spans="1:17" x14ac:dyDescent="0.2">
      <c r="A17" s="168" t="s">
        <v>57</v>
      </c>
      <c r="B17" s="5" t="str">
        <f>INDEX(PRICING[Agency/TT],MATCH(Rebate_Lookup[[#This Row],[SKU CODE]],PRICING[SKU],0))</f>
        <v>A</v>
      </c>
      <c r="C17" s="5" t="str">
        <f>INDEX(PRICING[Product],MATCH(Rebate_Lookup[[#This Row],[SKU CODE]],PRICING[SKU],0))</f>
        <v>Densicor®</v>
      </c>
      <c r="D17" s="5" t="str">
        <f>INDEX(PRICING[Size],MATCH(Rebate_Lookup[[#This Row],[SKU CODE]],PRICING[SKU],0))</f>
        <v>51 oz</v>
      </c>
      <c r="E17" s="5" cm="1">
        <f t="array" ref="E17">SUM(COUNTIFS(
    PRICING[Program],{"EOP/ORN","ORN","EOP","NOW","LL/NOW","LL/SLP/NOW","LL/SLP/EOP"},
    PRICING[SKU],A17
))</f>
        <v>2</v>
      </c>
      <c r="F17" s="5" cm="1">
        <f t="array" ref="F17">IFERROR(
MIN(
_xlfn._xlws.FILTER(
--_xlfn.TEXTBEFORE(
SUBSTITUTE(
SUBSTITUTE(PRICING[Min Qty],"+"," "),
"-"," "
),
" "
),
(PRICING[SKU]=$A17)*
(PRICING[Set]=1)*
(PRICING[Rebate $]&lt;&gt;0)*
(PRICING[Rebate $]&lt;&gt;"")
)
),
0
)</f>
        <v>1</v>
      </c>
      <c r="G17" s="5" cm="1">
        <f t="array" ref="G17">IFERROR(
MIN(
_xlfn._xlws.FILTER(
--_xlfn.TEXTBEFORE(
SUBSTITUTE(
SUBSTITUTE(PRICING[Min Qty],"+"," "),
"-"," "
),
" "
),
(PRICING[SKU]=$A17)*
(PRICING[Set]=2)*
(PRICING[Rebate $]&lt;&gt;0)*
(PRICING[Rebate $]&lt;&gt;"")
)
),
0
)</f>
        <v>3</v>
      </c>
      <c r="H17" s="5" cm="1">
        <f t="array" ref="H17">IFERROR(
MIN(
_xlfn._xlws.FILTER(
--_xlfn.TEXTBEFORE(
SUBSTITUTE(
SUBSTITUTE(PRICING[Min Qty],"+"," "),
"-"," "
),
" "
),
(PRICING[SKU]=$A17)*
(PRICING[Set]=3)*
(PRICING[Rebate $]&lt;&gt;0)*
(PRICING[Rebate $]&lt;&gt;"")
)
),
0
)</f>
        <v>0</v>
      </c>
      <c r="I17" s="5" cm="1">
        <f t="array" ref="I17">IFERROR(
MIN(
_xlfn._xlws.FILTER(
--_xlfn.TEXTBEFORE(
SUBSTITUTE(
SUBSTITUTE(PRICING[Min Qty],"+"," "),
"-"," "
),
" "
),
(PRICING[SKU]=$A17)*
(PRICING[Set]=4)*
(PRICING[Rebate $]&lt;&gt;0)*
(PRICING[Rebate $]&lt;&gt;"")
)
),
0
)</f>
        <v>0</v>
      </c>
      <c r="J17" s="5" cm="1">
        <f t="array" ref="J17">SUM(
    SUMIFS(
        PRICING[Rebate $],
        PRICING[Program],
        {"EOP/ORN","ORN","EOP","NOW","LL/NOW","LL/SLP/NOW","LL/SLP/EOP"},
        PRICING[SKU],
        Rebate_Lookup[[#This Row],[SKU CODE]],
        PRICING[Set],
        1
    )
)</f>
        <v>100</v>
      </c>
      <c r="K17" s="5" cm="1">
        <f t="array" ref="K17">SUM(
    SUMIFS(
        PRICING[Rebate $],
        PRICING[Program],
        {"EOP/ORN","ORN","EOP","NOW","LL/NOW","LL/SLP/NOW","LL/SLP/EOP"},
        PRICING[SKU],
        Rebate_Lookup[[#This Row],[SKU CODE]],
        PRICING[Set],
        2
    )
)</f>
        <v>150</v>
      </c>
      <c r="L17" s="5" cm="1">
        <f t="array" ref="L17">SUM(
    SUMIFS(
        PRICING[Rebate $],
        PRICING[Program],
        {"EOP/ORN","ORN","EOP","NOW","LL/NOW","LL/SLP/NOW","LL/SLP/EOP"},
        PRICING[SKU],
        Rebate_Lookup[[#This Row],[SKU CODE]],
        PRICING[Set],
        3
    )
)</f>
        <v>0</v>
      </c>
      <c r="M17" s="5" cm="1">
        <f t="array" ref="M17">SUM(
    SUMIFS(
        PRICING[Rebate $],
        PRICING[Program],
        {"EOP/ORN","ORN","EOP","NOW","LL/NOW","LL/SLP/NOW","LL/SLP/EOP"},
        PRICING[SKU],
        Rebate_Lookup[[#This Row],[SKU CODE]],
        PRICING[Set],
        4
    )
)</f>
        <v>0</v>
      </c>
      <c r="N17" s="5">
        <f>INDEX(Estimates!H:H,MATCH(Rebate_Lookup[[#This Row],[SKU CODE]],Estimates!A:A,0))</f>
        <v>0</v>
      </c>
      <c r="O17" s="5"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17" s="5">
        <f>COUNTIF(Estimates!A:A,Rebate_Lookup[[#This Row],[SKU CODE]])</f>
        <v>1</v>
      </c>
      <c r="Q17" s="6" t="b">
        <f>IFERROR(Rebate_Lookup[[#This Row],[Order Form Quantity]]&gt;=Rebate_Lookup[[#This Row],[MOQ_2]],0)</f>
        <v>0</v>
      </c>
    </row>
    <row r="18" spans="1:17" hidden="1" x14ac:dyDescent="0.2">
      <c r="A18" s="168">
        <v>11008357</v>
      </c>
      <c r="B18" s="5" t="str">
        <f>INDEX(PRICING[Agency/TT],MATCH(Rebate_Lookup[[#This Row],[SKU CODE]],PRICING[SKU],0))</f>
        <v>TT</v>
      </c>
      <c r="C18" s="5" t="str">
        <f>INDEX(PRICING[Product],MATCH(Rebate_Lookup[[#This Row],[SKU CODE]],PRICING[SKU],0))</f>
        <v>Dismiss® CA Herbicide</v>
      </c>
      <c r="D18" s="5" t="str">
        <f>INDEX(PRICING[Size],MATCH(Rebate_Lookup[[#This Row],[SKU CODE]],PRICING[SKU],0))</f>
        <v>6 oz</v>
      </c>
      <c r="E18" s="5" cm="1">
        <f t="array" ref="E18">SUM(COUNTIFS(
    PRICING[Program],{"EOP/ORN","ORN","EOP","NOW","LL/NOW","LL/SLP/NOW","LL/SLP/EOP"},
    PRICING[SKU],A18
))</f>
        <v>1</v>
      </c>
      <c r="F18" s="5" cm="1">
        <f t="array" ref="F18">IFERROR(
MIN(
_xlfn._xlws.FILTER(
--_xlfn.TEXTBEFORE(
SUBSTITUTE(
SUBSTITUTE(PRICING[Min Qty],"+"," "),
"-"," "
),
" "
),
(PRICING[SKU]=$A18)*
(PRICING[Set]=1)*
(PRICING[Rebate $]&lt;&gt;0)*
(PRICING[Rebate $]&lt;&gt;"")
)
),
0
)</f>
        <v>0</v>
      </c>
      <c r="G18" s="5" cm="1">
        <f t="array" ref="G18">IFERROR(
MIN(
_xlfn._xlws.FILTER(
--_xlfn.TEXTBEFORE(
SUBSTITUTE(
SUBSTITUTE(PRICING[Min Qty],"+"," "),
"-"," "
),
" "
),
(PRICING[SKU]=$A18)*
(PRICING[Set]=2)*
(PRICING[Rebate $]&lt;&gt;0)*
(PRICING[Rebate $]&lt;&gt;"")
)
),
0
)</f>
        <v>0</v>
      </c>
      <c r="H18" s="5" cm="1">
        <f t="array" ref="H18">IFERROR(
MIN(
_xlfn._xlws.FILTER(
--_xlfn.TEXTBEFORE(
SUBSTITUTE(
SUBSTITUTE(PRICING[Min Qty],"+"," "),
"-"," "
),
" "
),
(PRICING[SKU]=$A18)*
(PRICING[Set]=3)*
(PRICING[Rebate $]&lt;&gt;0)*
(PRICING[Rebate $]&lt;&gt;"")
)
),
0
)</f>
        <v>0</v>
      </c>
      <c r="I18" s="5" cm="1">
        <f t="array" ref="I18">IFERROR(
MIN(
_xlfn._xlws.FILTER(
--_xlfn.TEXTBEFORE(
SUBSTITUTE(
SUBSTITUTE(PRICING[Min Qty],"+"," "),
"-"," "
),
" "
),
(PRICING[SKU]=$A18)*
(PRICING[Set]=4)*
(PRICING[Rebate $]&lt;&gt;0)*
(PRICING[Rebate $]&lt;&gt;"")
)
),
0
)</f>
        <v>0</v>
      </c>
      <c r="J18" s="5" cm="1">
        <f t="array" ref="J18">SUM(
    SUMIFS(
        PRICING[Rebate $],
        PRICING[Program],
        {"EOP/ORN","ORN","EOP","NOW","LL/NOW","LL/SLP/NOW","LL/SLP/EOP"},
        PRICING[SKU],
        Rebate_Lookup[[#This Row],[SKU CODE]],
        PRICING[Set],
        1
    )
)</f>
        <v>18</v>
      </c>
      <c r="K18" s="5" cm="1">
        <f t="array" ref="K18">SUM(
    SUMIFS(
        PRICING[Rebate $],
        PRICING[Program],
        {"EOP/ORN","ORN","EOP","NOW","LL/NOW","LL/SLP/NOW","LL/SLP/EOP"},
        PRICING[SKU],
        Rebate_Lookup[[#This Row],[SKU CODE]],
        PRICING[Set],
        2
    )
)</f>
        <v>0</v>
      </c>
      <c r="L18" s="5" cm="1">
        <f t="array" ref="L18">SUM(
    SUMIFS(
        PRICING[Rebate $],
        PRICING[Program],
        {"EOP/ORN","ORN","EOP","NOW","LL/NOW","LL/SLP/NOW","LL/SLP/EOP"},
        PRICING[SKU],
        Rebate_Lookup[[#This Row],[SKU CODE]],
        PRICING[Set],
        3
    )
)</f>
        <v>0</v>
      </c>
      <c r="M18" s="5" cm="1">
        <f t="array" ref="M18">SUM(
    SUMIFS(
        PRICING[Rebate $],
        PRICING[Program],
        {"EOP/ORN","ORN","EOP","NOW","LL/NOW","LL/SLP/NOW","LL/SLP/EOP"},
        PRICING[SKU],
        Rebate_Lookup[[#This Row],[SKU CODE]],
        PRICING[Set],
        4
    )
)</f>
        <v>0</v>
      </c>
      <c r="N18" s="5">
        <f>INDEX(Estimates!H:H,MATCH(Rebate_Lookup[[#This Row],[SKU CODE]],Estimates!A:A,0))</f>
        <v>0</v>
      </c>
      <c r="O18"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18" s="5">
        <f>COUNTIF(Estimates!A:A,Rebate_Lookup[[#This Row],[SKU CODE]])</f>
        <v>1</v>
      </c>
      <c r="Q18" s="6" t="b">
        <f>IFERROR(Rebate_Lookup[[#This Row],[Order Form Quantity]]&gt;=Rebate_Lookup[[#This Row],[MOQ_2]],0)</f>
        <v>1</v>
      </c>
    </row>
    <row r="19" spans="1:17" x14ac:dyDescent="0.2">
      <c r="A19" s="168">
        <v>11008409</v>
      </c>
      <c r="B19" s="5" t="str">
        <f>INDEX(PRICING[Agency/TT],MATCH(Rebate_Lookup[[#This Row],[SKU CODE]],PRICING[SKU],0))</f>
        <v>A</v>
      </c>
      <c r="C19" s="5" t="str">
        <f>INDEX(PRICING[Product],MATCH(Rebate_Lookup[[#This Row],[SKU CODE]],PRICING[SKU],0))</f>
        <v>Dismiss® NXT Herbicide</v>
      </c>
      <c r="D19" s="5" t="str">
        <f>INDEX(PRICING[Size],MATCH(Rebate_Lookup[[#This Row],[SKU CODE]],PRICING[SKU],0))</f>
        <v>10 oz</v>
      </c>
      <c r="E19" s="5" cm="1">
        <f t="array" ref="E19">SUM(COUNTIFS(
    PRICING[Program],{"EOP/ORN","ORN","EOP","NOW","LL/NOW","LL/SLP/NOW","LL/SLP/EOP"},
    PRICING[SKU],A19
))</f>
        <v>1</v>
      </c>
      <c r="F19" s="5" cm="1">
        <f t="array" ref="F19">IFERROR(
MIN(
_xlfn._xlws.FILTER(
--_xlfn.TEXTBEFORE(
SUBSTITUTE(
SUBSTITUTE(PRICING[Min Qty],"+"," "),
"-"," "
),
" "
),
(PRICING[SKU]=$A19)*
(PRICING[Set]=1)*
(PRICING[Rebate $]&lt;&gt;0)*
(PRICING[Rebate $]&lt;&gt;"")
)
),
0
)</f>
        <v>0</v>
      </c>
      <c r="G19" s="5" cm="1">
        <f t="array" ref="G19">IFERROR(
MIN(
_xlfn._xlws.FILTER(
--_xlfn.TEXTBEFORE(
SUBSTITUTE(
SUBSTITUTE(PRICING[Min Qty],"+"," "),
"-"," "
),
" "
),
(PRICING[SKU]=$A19)*
(PRICING[Set]=2)*
(PRICING[Rebate $]&lt;&gt;0)*
(PRICING[Rebate $]&lt;&gt;"")
)
),
0
)</f>
        <v>0</v>
      </c>
      <c r="H19" s="5" cm="1">
        <f t="array" ref="H19">IFERROR(
MIN(
_xlfn._xlws.FILTER(
--_xlfn.TEXTBEFORE(
SUBSTITUTE(
SUBSTITUTE(PRICING[Min Qty],"+"," "),
"-"," "
),
" "
),
(PRICING[SKU]=$A19)*
(PRICING[Set]=3)*
(PRICING[Rebate $]&lt;&gt;0)*
(PRICING[Rebate $]&lt;&gt;"")
)
),
0
)</f>
        <v>0</v>
      </c>
      <c r="I19" s="5" cm="1">
        <f t="array" ref="I19">IFERROR(
MIN(
_xlfn._xlws.FILTER(
--_xlfn.TEXTBEFORE(
SUBSTITUTE(
SUBSTITUTE(PRICING[Min Qty],"+"," "),
"-"," "
),
" "
),
(PRICING[SKU]=$A19)*
(PRICING[Set]=4)*
(PRICING[Rebate $]&lt;&gt;0)*
(PRICING[Rebate $]&lt;&gt;"")
)
),
0
)</f>
        <v>0</v>
      </c>
      <c r="J19" s="5" cm="1">
        <f t="array" ref="J19">SUM(
    SUMIFS(
        PRICING[Rebate $],
        PRICING[Program],
        {"EOP/ORN","ORN","EOP","NOW","LL/NOW","LL/SLP/NOW","LL/SLP/EOP"},
        PRICING[SKU],
        Rebate_Lookup[[#This Row],[SKU CODE]],
        PRICING[Set],
        1
    )
)</f>
        <v>5</v>
      </c>
      <c r="K19" s="5" cm="1">
        <f t="array" ref="K19">SUM(
    SUMIFS(
        PRICING[Rebate $],
        PRICING[Program],
        {"EOP/ORN","ORN","EOP","NOW","LL/NOW","LL/SLP/NOW","LL/SLP/EOP"},
        PRICING[SKU],
        Rebate_Lookup[[#This Row],[SKU CODE]],
        PRICING[Set],
        2
    )
)</f>
        <v>0</v>
      </c>
      <c r="L19" s="5" cm="1">
        <f t="array" ref="L19">SUM(
    SUMIFS(
        PRICING[Rebate $],
        PRICING[Program],
        {"EOP/ORN","ORN","EOP","NOW","LL/NOW","LL/SLP/NOW","LL/SLP/EOP"},
        PRICING[SKU],
        Rebate_Lookup[[#This Row],[SKU CODE]],
        PRICING[Set],
        3
    )
)</f>
        <v>0</v>
      </c>
      <c r="M19" s="5" cm="1">
        <f t="array" ref="M19">SUM(
    SUMIFS(
        PRICING[Rebate $],
        PRICING[Program],
        {"EOP/ORN","ORN","EOP","NOW","LL/NOW","LL/SLP/NOW","LL/SLP/EOP"},
        PRICING[SKU],
        Rebate_Lookup[[#This Row],[SKU CODE]],
        PRICING[Set],
        4
    )
)</f>
        <v>0</v>
      </c>
      <c r="N19" s="5">
        <f>INDEX(Estimates!H:H,MATCH(Rebate_Lookup[[#This Row],[SKU CODE]],Estimates!A:A,0))</f>
        <v>0</v>
      </c>
      <c r="O19"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19" s="5">
        <f>COUNTIF(Estimates!A:A,Rebate_Lookup[[#This Row],[SKU CODE]])</f>
        <v>1</v>
      </c>
      <c r="Q19" s="6" t="b">
        <f>IFERROR(Rebate_Lookup[[#This Row],[Order Form Quantity]]&gt;=Rebate_Lookup[[#This Row],[MOQ_2]],0)</f>
        <v>1</v>
      </c>
    </row>
    <row r="20" spans="1:17" x14ac:dyDescent="0.2">
      <c r="A20" s="168">
        <v>11008589</v>
      </c>
      <c r="B20" s="5" t="str">
        <f>INDEX(PRICING[Agency/TT],MATCH(Rebate_Lookup[[#This Row],[SKU CODE]],PRICING[SKU],0))</f>
        <v>A</v>
      </c>
      <c r="C20" s="5" t="str">
        <f>INDEX(PRICING[Product],MATCH(Rebate_Lookup[[#This Row],[SKU CODE]],PRICING[SKU],0))</f>
        <v>Dismiss® NXT Herbicide</v>
      </c>
      <c r="D20" s="5" t="str">
        <f>INDEX(PRICING[Size],MATCH(Rebate_Lookup[[#This Row],[SKU CODE]],PRICING[SKU],0))</f>
        <v>60 oz</v>
      </c>
      <c r="E20" s="5" cm="1">
        <f t="array" ref="E20">SUM(COUNTIFS(
    PRICING[Program],{"EOP/ORN","ORN","EOP","NOW","LL/NOW","LL/SLP/NOW","LL/SLP/EOP"},
    PRICING[SKU],A20
))</f>
        <v>2</v>
      </c>
      <c r="F20" s="5" cm="1">
        <f t="array" ref="F20">IFERROR(
MIN(
_xlfn._xlws.FILTER(
--_xlfn.TEXTBEFORE(
SUBSTITUTE(
SUBSTITUTE(PRICING[Min Qty],"+"," "),
"-"," "
),
" "
),
(PRICING[SKU]=$A20)*
(PRICING[Set]=1)*
(PRICING[Rebate $]&lt;&gt;0)*
(PRICING[Rebate $]&lt;&gt;"")
)
),
0
)</f>
        <v>1</v>
      </c>
      <c r="G20" s="5" cm="1">
        <f t="array" ref="G20">IFERROR(
MIN(
_xlfn._xlws.FILTER(
--_xlfn.TEXTBEFORE(
SUBSTITUTE(
SUBSTITUTE(PRICING[Min Qty],"+"," "),
"-"," "
),
" "
),
(PRICING[SKU]=$A20)*
(PRICING[Set]=2)*
(PRICING[Rebate $]&lt;&gt;0)*
(PRICING[Rebate $]&lt;&gt;"")
)
),
0
)</f>
        <v>4</v>
      </c>
      <c r="H20" s="5" cm="1">
        <f t="array" ref="H20">IFERROR(
MIN(
_xlfn._xlws.FILTER(
--_xlfn.TEXTBEFORE(
SUBSTITUTE(
SUBSTITUTE(PRICING[Min Qty],"+"," "),
"-"," "
),
" "
),
(PRICING[SKU]=$A20)*
(PRICING[Set]=3)*
(PRICING[Rebate $]&lt;&gt;0)*
(PRICING[Rebate $]&lt;&gt;"")
)
),
0
)</f>
        <v>0</v>
      </c>
      <c r="I20" s="5" cm="1">
        <f t="array" ref="I20">IFERROR(
MIN(
_xlfn._xlws.FILTER(
--_xlfn.TEXTBEFORE(
SUBSTITUTE(
SUBSTITUTE(PRICING[Min Qty],"+"," "),
"-"," "
),
" "
),
(PRICING[SKU]=$A20)*
(PRICING[Set]=4)*
(PRICING[Rebate $]&lt;&gt;0)*
(PRICING[Rebate $]&lt;&gt;"")
)
),
0
)</f>
        <v>0</v>
      </c>
      <c r="J20" s="5" cm="1">
        <f t="array" ref="J20">SUM(
    SUMIFS(
        PRICING[Rebate $],
        PRICING[Program],
        {"EOP/ORN","ORN","EOP","NOW","LL/NOW","LL/SLP/NOW","LL/SLP/EOP"},
        PRICING[SKU],
        Rebate_Lookup[[#This Row],[SKU CODE]],
        PRICING[Set],
        1
    )
)</f>
        <v>24</v>
      </c>
      <c r="K20" s="5" cm="1">
        <f t="array" ref="K20">SUM(
    SUMIFS(
        PRICING[Rebate $],
        PRICING[Program],
        {"EOP/ORN","ORN","EOP","NOW","LL/NOW","LL/SLP/NOW","LL/SLP/EOP"},
        PRICING[SKU],
        Rebate_Lookup[[#This Row],[SKU CODE]],
        PRICING[Set],
        2
    )
)</f>
        <v>58</v>
      </c>
      <c r="L20" s="5" cm="1">
        <f t="array" ref="L20">SUM(
    SUMIFS(
        PRICING[Rebate $],
        PRICING[Program],
        {"EOP/ORN","ORN","EOP","NOW","LL/NOW","LL/SLP/NOW","LL/SLP/EOP"},
        PRICING[SKU],
        Rebate_Lookup[[#This Row],[SKU CODE]],
        PRICING[Set],
        3
    )
)</f>
        <v>0</v>
      </c>
      <c r="M20" s="5" cm="1">
        <f t="array" ref="M20">SUM(
    SUMIFS(
        PRICING[Rebate $],
        PRICING[Program],
        {"EOP/ORN","ORN","EOP","NOW","LL/NOW","LL/SLP/NOW","LL/SLP/EOP"},
        PRICING[SKU],
        Rebate_Lookup[[#This Row],[SKU CODE]],
        PRICING[Set],
        4
    )
)</f>
        <v>0</v>
      </c>
      <c r="N20" s="5">
        <f>INDEX(Estimates!H:H,MATCH(Rebate_Lookup[[#This Row],[SKU CODE]],Estimates!A:A,0))</f>
        <v>0</v>
      </c>
      <c r="O20" s="5"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20" s="5">
        <f>COUNTIF(Estimates!A:A,Rebate_Lookup[[#This Row],[SKU CODE]])</f>
        <v>1</v>
      </c>
      <c r="Q20" s="6" t="b">
        <f>IFERROR(Rebate_Lookup[[#This Row],[Order Form Quantity]]&gt;=Rebate_Lookup[[#This Row],[MOQ_2]],0)</f>
        <v>0</v>
      </c>
    </row>
    <row r="21" spans="1:17" hidden="1" x14ac:dyDescent="0.2">
      <c r="A21" s="168">
        <v>11008474</v>
      </c>
      <c r="B21" s="5" t="str">
        <f>INDEX(PRICING[Agency/TT],MATCH(Rebate_Lookup[[#This Row],[SKU CODE]],PRICING[SKU],0))</f>
        <v>TT</v>
      </c>
      <c r="C21" s="5" t="str">
        <f>INDEX(PRICING[Product],MATCH(Rebate_Lookup[[#This Row],[SKU CODE]],PRICING[SKU],0))</f>
        <v>Dismiss® South Herbicide</v>
      </c>
      <c r="D21" s="5" t="str">
        <f>INDEX(PRICING[Size],MATCH(Rebate_Lookup[[#This Row],[SKU CODE]],PRICING[SKU],0))</f>
        <v xml:space="preserve">1 pint </v>
      </c>
      <c r="E21" s="5" cm="1">
        <f t="array" ref="E21">SUM(COUNTIFS(
    PRICING[Program],{"EOP/ORN","ORN","EOP","NOW","LL/NOW","LL/SLP/NOW","LL/SLP/EOP"},
    PRICING[SKU],A21
))</f>
        <v>1</v>
      </c>
      <c r="F21" s="5" cm="1">
        <f t="array" ref="F21">IFERROR(
MIN(
_xlfn._xlws.FILTER(
--_xlfn.TEXTBEFORE(
SUBSTITUTE(
SUBSTITUTE(PRICING[Min Qty],"+"," "),
"-"," "
),
" "
),
(PRICING[SKU]=$A21)*
(PRICING[Set]=1)*
(PRICING[Rebate $]&lt;&gt;0)*
(PRICING[Rebate $]&lt;&gt;"")
)
),
0
)</f>
        <v>0</v>
      </c>
      <c r="G21" s="5" cm="1">
        <f t="array" ref="G21">IFERROR(
MIN(
_xlfn._xlws.FILTER(
--_xlfn.TEXTBEFORE(
SUBSTITUTE(
SUBSTITUTE(PRICING[Min Qty],"+"," "),
"-"," "
),
" "
),
(PRICING[SKU]=$A21)*
(PRICING[Set]=2)*
(PRICING[Rebate $]&lt;&gt;0)*
(PRICING[Rebate $]&lt;&gt;"")
)
),
0
)</f>
        <v>0</v>
      </c>
      <c r="H21" s="5" cm="1">
        <f t="array" ref="H21">IFERROR(
MIN(
_xlfn._xlws.FILTER(
--_xlfn.TEXTBEFORE(
SUBSTITUTE(
SUBSTITUTE(PRICING[Min Qty],"+"," "),
"-"," "
),
" "
),
(PRICING[SKU]=$A21)*
(PRICING[Set]=3)*
(PRICING[Rebate $]&lt;&gt;0)*
(PRICING[Rebate $]&lt;&gt;"")
)
),
0
)</f>
        <v>0</v>
      </c>
      <c r="I21" s="5" cm="1">
        <f t="array" ref="I21">IFERROR(
MIN(
_xlfn._xlws.FILTER(
--_xlfn.TEXTBEFORE(
SUBSTITUTE(
SUBSTITUTE(PRICING[Min Qty],"+"," "),
"-"," "
),
" "
),
(PRICING[SKU]=$A21)*
(PRICING[Set]=4)*
(PRICING[Rebate $]&lt;&gt;0)*
(PRICING[Rebate $]&lt;&gt;"")
)
),
0
)</f>
        <v>0</v>
      </c>
      <c r="J21" s="5" cm="1">
        <f t="array" ref="J21">SUM(
    SUMIFS(
        PRICING[Rebate $],
        PRICING[Program],
        {"EOP/ORN","ORN","EOP","NOW","LL/NOW","LL/SLP/NOW","LL/SLP/EOP"},
        PRICING[SKU],
        Rebate_Lookup[[#This Row],[SKU CODE]],
        PRICING[Set],
        1
    )
)</f>
        <v>25</v>
      </c>
      <c r="K21" s="5" cm="1">
        <f t="array" ref="K21">SUM(
    SUMIFS(
        PRICING[Rebate $],
        PRICING[Program],
        {"EOP/ORN","ORN","EOP","NOW","LL/NOW","LL/SLP/NOW","LL/SLP/EOP"},
        PRICING[SKU],
        Rebate_Lookup[[#This Row],[SKU CODE]],
        PRICING[Set],
        2
    )
)</f>
        <v>0</v>
      </c>
      <c r="L21" s="5" cm="1">
        <f t="array" ref="L21">SUM(
    SUMIFS(
        PRICING[Rebate $],
        PRICING[Program],
        {"EOP/ORN","ORN","EOP","NOW","LL/NOW","LL/SLP/NOW","LL/SLP/EOP"},
        PRICING[SKU],
        Rebate_Lookup[[#This Row],[SKU CODE]],
        PRICING[Set],
        3
    )
)</f>
        <v>0</v>
      </c>
      <c r="M21" s="5" cm="1">
        <f t="array" ref="M21">SUM(
    SUMIFS(
        PRICING[Rebate $],
        PRICING[Program],
        {"EOP/ORN","ORN","EOP","NOW","LL/NOW","LL/SLP/NOW","LL/SLP/EOP"},
        PRICING[SKU],
        Rebate_Lookup[[#This Row],[SKU CODE]],
        PRICING[Set],
        4
    )
)</f>
        <v>0</v>
      </c>
      <c r="N21" s="5">
        <f>INDEX(Estimates!H:H,MATCH(Rebate_Lookup[[#This Row],[SKU CODE]],Estimates!A:A,0))</f>
        <v>0</v>
      </c>
      <c r="O21"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21" s="5">
        <f>COUNTIF(Estimates!A:A,Rebate_Lookup[[#This Row],[SKU CODE]])</f>
        <v>1</v>
      </c>
      <c r="Q21" s="6" t="b">
        <f>IFERROR(Rebate_Lookup[[#This Row],[Order Form Quantity]]&gt;=Rebate_Lookup[[#This Row],[MOQ_2]],0)</f>
        <v>1</v>
      </c>
    </row>
    <row r="22" spans="1:17" hidden="1" x14ac:dyDescent="0.2">
      <c r="A22" s="168">
        <v>11008475</v>
      </c>
      <c r="B22" s="5" t="str">
        <f>INDEX(PRICING[Agency/TT],MATCH(Rebate_Lookup[[#This Row],[SKU CODE]],PRICING[SKU],0))</f>
        <v>TT</v>
      </c>
      <c r="C22" s="5" t="str">
        <f>INDEX(PRICING[Product],MATCH(Rebate_Lookup[[#This Row],[SKU CODE]],PRICING[SKU],0))</f>
        <v>Dismiss® Turf Herbicide</v>
      </c>
      <c r="D22" s="5" t="str">
        <f>INDEX(PRICING[Size],MATCH(Rebate_Lookup[[#This Row],[SKU CODE]],PRICING[SKU],0))</f>
        <v>6 oz</v>
      </c>
      <c r="E22" s="5" cm="1">
        <f t="array" ref="E22">SUM(COUNTIFS(
    PRICING[Program],{"EOP/ORN","ORN","EOP","NOW","LL/NOW","LL/SLP/NOW","LL/SLP/EOP"},
    PRICING[SKU],A22
))</f>
        <v>1</v>
      </c>
      <c r="F22" s="5" cm="1">
        <f t="array" ref="F22">IFERROR(
MIN(
_xlfn._xlws.FILTER(
--_xlfn.TEXTBEFORE(
SUBSTITUTE(
SUBSTITUTE(PRICING[Min Qty],"+"," "),
"-"," "
),
" "
),
(PRICING[SKU]=$A22)*
(PRICING[Set]=1)*
(PRICING[Rebate $]&lt;&gt;0)*
(PRICING[Rebate $]&lt;&gt;"")
)
),
0
)</f>
        <v>0</v>
      </c>
      <c r="G22" s="5" cm="1">
        <f t="array" ref="G22">IFERROR(
MIN(
_xlfn._xlws.FILTER(
--_xlfn.TEXTBEFORE(
SUBSTITUTE(
SUBSTITUTE(PRICING[Min Qty],"+"," "),
"-"," "
),
" "
),
(PRICING[SKU]=$A22)*
(PRICING[Set]=2)*
(PRICING[Rebate $]&lt;&gt;0)*
(PRICING[Rebate $]&lt;&gt;"")
)
),
0
)</f>
        <v>0</v>
      </c>
      <c r="H22" s="5" cm="1">
        <f t="array" ref="H22">IFERROR(
MIN(
_xlfn._xlws.FILTER(
--_xlfn.TEXTBEFORE(
SUBSTITUTE(
SUBSTITUTE(PRICING[Min Qty],"+"," "),
"-"," "
),
" "
),
(PRICING[SKU]=$A22)*
(PRICING[Set]=3)*
(PRICING[Rebate $]&lt;&gt;0)*
(PRICING[Rebate $]&lt;&gt;"")
)
),
0
)</f>
        <v>0</v>
      </c>
      <c r="I22" s="5" cm="1">
        <f t="array" ref="I22">IFERROR(
MIN(
_xlfn._xlws.FILTER(
--_xlfn.TEXTBEFORE(
SUBSTITUTE(
SUBSTITUTE(PRICING[Min Qty],"+"," "),
"-"," "
),
" "
),
(PRICING[SKU]=$A22)*
(PRICING[Set]=4)*
(PRICING[Rebate $]&lt;&gt;0)*
(PRICING[Rebate $]&lt;&gt;"")
)
),
0
)</f>
        <v>0</v>
      </c>
      <c r="J22" s="5" cm="1">
        <f t="array" ref="J22">SUM(
    SUMIFS(
        PRICING[Rebate $],
        PRICING[Program],
        {"EOP/ORN","ORN","EOP","NOW","LL/NOW","LL/SLP/NOW","LL/SLP/EOP"},
        PRICING[SKU],
        Rebate_Lookup[[#This Row],[SKU CODE]],
        PRICING[Set],
        1
    )
)</f>
        <v>18</v>
      </c>
      <c r="K22" s="5" cm="1">
        <f t="array" ref="K22">SUM(
    SUMIFS(
        PRICING[Rebate $],
        PRICING[Program],
        {"EOP/ORN","ORN","EOP","NOW","LL/NOW","LL/SLP/NOW","LL/SLP/EOP"},
        PRICING[SKU],
        Rebate_Lookup[[#This Row],[SKU CODE]],
        PRICING[Set],
        2
    )
)</f>
        <v>0</v>
      </c>
      <c r="L22" s="5" cm="1">
        <f t="array" ref="L22">SUM(
    SUMIFS(
        PRICING[Rebate $],
        PRICING[Program],
        {"EOP/ORN","ORN","EOP","NOW","LL/NOW","LL/SLP/NOW","LL/SLP/EOP"},
        PRICING[SKU],
        Rebate_Lookup[[#This Row],[SKU CODE]],
        PRICING[Set],
        3
    )
)</f>
        <v>0</v>
      </c>
      <c r="M22" s="5" cm="1">
        <f t="array" ref="M22">SUM(
    SUMIFS(
        PRICING[Rebate $],
        PRICING[Program],
        {"EOP/ORN","ORN","EOP","NOW","LL/NOW","LL/SLP/NOW","LL/SLP/EOP"},
        PRICING[SKU],
        Rebate_Lookup[[#This Row],[SKU CODE]],
        PRICING[Set],
        4
    )
)</f>
        <v>0</v>
      </c>
      <c r="N22" s="5">
        <f>INDEX(Estimates!H:H,MATCH(Rebate_Lookup[[#This Row],[SKU CODE]],Estimates!A:A,0))</f>
        <v>0</v>
      </c>
      <c r="O22"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22" s="5">
        <f>COUNTIF(Estimates!A:A,Rebate_Lookup[[#This Row],[SKU CODE]])</f>
        <v>1</v>
      </c>
      <c r="Q22" s="6" t="b">
        <f>IFERROR(Rebate_Lookup[[#This Row],[Order Form Quantity]]&gt;=Rebate_Lookup[[#This Row],[MOQ_2]],0)</f>
        <v>1</v>
      </c>
    </row>
    <row r="23" spans="1:17" hidden="1" x14ac:dyDescent="0.2">
      <c r="A23" s="168">
        <v>11008336</v>
      </c>
      <c r="B23" s="5" t="str">
        <f>INDEX(PRICING[Agency/TT],MATCH(Rebate_Lookup[[#This Row],[SKU CODE]],PRICING[SKU],0))</f>
        <v>TT</v>
      </c>
      <c r="C23" s="5" t="str">
        <f>INDEX(PRICING[Product],MATCH(Rebate_Lookup[[#This Row],[SKU CODE]],PRICING[SKU],0))</f>
        <v>Dismiss® Turf Herbicide</v>
      </c>
      <c r="D23" s="5" t="str">
        <f>INDEX(PRICING[Size],MATCH(Rebate_Lookup[[#This Row],[SKU CODE]],PRICING[SKU],0))</f>
        <v>64 oz</v>
      </c>
      <c r="E23" s="5" cm="1">
        <f t="array" ref="E23">SUM(COUNTIFS(
    PRICING[Program],{"EOP/ORN","ORN","EOP","NOW","LL/NOW","LL/SLP/NOW","LL/SLP/EOP"},
    PRICING[SKU],A23
))</f>
        <v>1</v>
      </c>
      <c r="F23" s="5" cm="1">
        <f t="array" ref="F23">IFERROR(
MIN(
_xlfn._xlws.FILTER(
--_xlfn.TEXTBEFORE(
SUBSTITUTE(
SUBSTITUTE(PRICING[Min Qty],"+"," "),
"-"," "
),
" "
),
(PRICING[SKU]=$A23)*
(PRICING[Set]=1)*
(PRICING[Rebate $]&lt;&gt;0)*
(PRICING[Rebate $]&lt;&gt;"")
)
),
0
)</f>
        <v>0</v>
      </c>
      <c r="G23" s="5" cm="1">
        <f t="array" ref="G23">IFERROR(
MIN(
_xlfn._xlws.FILTER(
--_xlfn.TEXTBEFORE(
SUBSTITUTE(
SUBSTITUTE(PRICING[Min Qty],"+"," "),
"-"," "
),
" "
),
(PRICING[SKU]=$A23)*
(PRICING[Set]=2)*
(PRICING[Rebate $]&lt;&gt;0)*
(PRICING[Rebate $]&lt;&gt;"")
)
),
0
)</f>
        <v>0</v>
      </c>
      <c r="H23" s="5" cm="1">
        <f t="array" ref="H23">IFERROR(
MIN(
_xlfn._xlws.FILTER(
--_xlfn.TEXTBEFORE(
SUBSTITUTE(
SUBSTITUTE(PRICING[Min Qty],"+"," "),
"-"," "
),
" "
),
(PRICING[SKU]=$A23)*
(PRICING[Set]=3)*
(PRICING[Rebate $]&lt;&gt;0)*
(PRICING[Rebate $]&lt;&gt;"")
)
),
0
)</f>
        <v>0</v>
      </c>
      <c r="I23" s="5" cm="1">
        <f t="array" ref="I23">IFERROR(
MIN(
_xlfn._xlws.FILTER(
--_xlfn.TEXTBEFORE(
SUBSTITUTE(
SUBSTITUTE(PRICING[Min Qty],"+"," "),
"-"," "
),
" "
),
(PRICING[SKU]=$A23)*
(PRICING[Set]=4)*
(PRICING[Rebate $]&lt;&gt;0)*
(PRICING[Rebate $]&lt;&gt;"")
)
),
0
)</f>
        <v>0</v>
      </c>
      <c r="J23" s="5" cm="1">
        <f t="array" ref="J23">SUM(
    SUMIFS(
        PRICING[Rebate $],
        PRICING[Program],
        {"EOP/ORN","ORN","EOP","NOW","LL/NOW","LL/SLP/NOW","LL/SLP/EOP"},
        PRICING[SKU],
        Rebate_Lookup[[#This Row],[SKU CODE]],
        PRICING[Set],
        1
    )
)</f>
        <v>40</v>
      </c>
      <c r="K23" s="5" cm="1">
        <f t="array" ref="K23">SUM(
    SUMIFS(
        PRICING[Rebate $],
        PRICING[Program],
        {"EOP/ORN","ORN","EOP","NOW","LL/NOW","LL/SLP/NOW","LL/SLP/EOP"},
        PRICING[SKU],
        Rebate_Lookup[[#This Row],[SKU CODE]],
        PRICING[Set],
        2
    )
)</f>
        <v>0</v>
      </c>
      <c r="L23" s="5" cm="1">
        <f t="array" ref="L23">SUM(
    SUMIFS(
        PRICING[Rebate $],
        PRICING[Program],
        {"EOP/ORN","ORN","EOP","NOW","LL/NOW","LL/SLP/NOW","LL/SLP/EOP"},
        PRICING[SKU],
        Rebate_Lookup[[#This Row],[SKU CODE]],
        PRICING[Set],
        3
    )
)</f>
        <v>0</v>
      </c>
      <c r="M23" s="5" cm="1">
        <f t="array" ref="M23">SUM(
    SUMIFS(
        PRICING[Rebate $],
        PRICING[Program],
        {"EOP/ORN","ORN","EOP","NOW","LL/NOW","LL/SLP/NOW","LL/SLP/EOP"},
        PRICING[SKU],
        Rebate_Lookup[[#This Row],[SKU CODE]],
        PRICING[Set],
        4
    )
)</f>
        <v>0</v>
      </c>
      <c r="N23" s="5">
        <f>INDEX(Estimates!H:H,MATCH(Rebate_Lookup[[#This Row],[SKU CODE]],Estimates!A:A,0))</f>
        <v>0</v>
      </c>
      <c r="O23"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23" s="5">
        <f>COUNTIF(Estimates!A:A,Rebate_Lookup[[#This Row],[SKU CODE]])</f>
        <v>1</v>
      </c>
      <c r="Q23" s="6" t="b">
        <f>IFERROR(Rebate_Lookup[[#This Row],[Order Form Quantity]]&gt;=Rebate_Lookup[[#This Row],[MOQ_2]],0)</f>
        <v>1</v>
      </c>
    </row>
    <row r="24" spans="1:17" hidden="1" x14ac:dyDescent="0.2">
      <c r="A24" s="168" t="s">
        <v>91</v>
      </c>
      <c r="B24" s="5" t="str">
        <f>INDEX(PRICING[Agency/TT],MATCH(Rebate_Lookup[[#This Row],[SKU CODE]],PRICING[SKU],0))</f>
        <v>TT</v>
      </c>
      <c r="C24" s="5" t="str">
        <f>INDEX(PRICING[Product],MATCH(Rebate_Lookup[[#This Row],[SKU CODE]],PRICING[SKU],0))</f>
        <v>Durentis® 0.058% On-Fertilizer</v>
      </c>
      <c r="D24" s="5" t="str">
        <f>INDEX(PRICING[Size],MATCH(Rebate_Lookup[[#This Row],[SKU CODE]],PRICING[SKU],0))</f>
        <v>50 lb</v>
      </c>
      <c r="E24" s="5" cm="1">
        <f t="array" ref="E24">SUM(COUNTIFS(
    PRICING[Program],{"EOP/ORN","ORN","EOP","NOW","LL/NOW","LL/SLP/NOW","LL/SLP/EOP"},
    PRICING[SKU],A24
))</f>
        <v>1</v>
      </c>
      <c r="F24" s="5" cm="1">
        <f t="array" ref="F24">IFERROR(
MIN(
_xlfn._xlws.FILTER(
--_xlfn.TEXTBEFORE(
SUBSTITUTE(
SUBSTITUTE(PRICING[Min Qty],"+"," "),
"-"," "
),
" "
),
(PRICING[SKU]=$A24)*
(PRICING[Set]=1)*
(PRICING[Rebate $]&lt;&gt;0)*
(PRICING[Rebate $]&lt;&gt;"")
)
),
0
)</f>
        <v>0</v>
      </c>
      <c r="G24" s="5" cm="1">
        <f t="array" ref="G24">IFERROR(
MIN(
_xlfn._xlws.FILTER(
--_xlfn.TEXTBEFORE(
SUBSTITUTE(
SUBSTITUTE(PRICING[Min Qty],"+"," "),
"-"," "
),
" "
),
(PRICING[SKU]=$A24)*
(PRICING[Set]=2)*
(PRICING[Rebate $]&lt;&gt;0)*
(PRICING[Rebate $]&lt;&gt;"")
)
),
0
)</f>
        <v>0</v>
      </c>
      <c r="H24" s="5" cm="1">
        <f t="array" ref="H24">IFERROR(
MIN(
_xlfn._xlws.FILTER(
--_xlfn.TEXTBEFORE(
SUBSTITUTE(
SUBSTITUTE(PRICING[Min Qty],"+"," "),
"-"," "
),
" "
),
(PRICING[SKU]=$A24)*
(PRICING[Set]=3)*
(PRICING[Rebate $]&lt;&gt;0)*
(PRICING[Rebate $]&lt;&gt;"")
)
),
0
)</f>
        <v>0</v>
      </c>
      <c r="I24" s="5" cm="1">
        <f t="array" ref="I24">IFERROR(
MIN(
_xlfn._xlws.FILTER(
--_xlfn.TEXTBEFORE(
SUBSTITUTE(
SUBSTITUTE(PRICING[Min Qty],"+"," "),
"-"," "
),
" "
),
(PRICING[SKU]=$A24)*
(PRICING[Set]=4)*
(PRICING[Rebate $]&lt;&gt;0)*
(PRICING[Rebate $]&lt;&gt;"")
)
),
0
)</f>
        <v>0</v>
      </c>
      <c r="J24" s="5" cm="1">
        <f t="array" ref="J24">SUM(
    SUMIFS(
        PRICING[Rebate $],
        PRICING[Program],
        {"EOP/ORN","ORN","EOP","NOW","LL/NOW","LL/SLP/NOW","LL/SLP/EOP"},
        PRICING[SKU],
        Rebate_Lookup[[#This Row],[SKU CODE]],
        PRICING[Set],
        1
    )
)</f>
        <v>2.5</v>
      </c>
      <c r="K24" s="5" cm="1">
        <f t="array" ref="K24">SUM(
    SUMIFS(
        PRICING[Rebate $],
        PRICING[Program],
        {"EOP/ORN","ORN","EOP","NOW","LL/NOW","LL/SLP/NOW","LL/SLP/EOP"},
        PRICING[SKU],
        Rebate_Lookup[[#This Row],[SKU CODE]],
        PRICING[Set],
        2
    )
)</f>
        <v>0</v>
      </c>
      <c r="L24" s="5" cm="1">
        <f t="array" ref="L24">SUM(
    SUMIFS(
        PRICING[Rebate $],
        PRICING[Program],
        {"EOP/ORN","ORN","EOP","NOW","LL/NOW","LL/SLP/NOW","LL/SLP/EOP"},
        PRICING[SKU],
        Rebate_Lookup[[#This Row],[SKU CODE]],
        PRICING[Set],
        3
    )
)</f>
        <v>0</v>
      </c>
      <c r="M24" s="5" cm="1">
        <f t="array" ref="M24">SUM(
    SUMIFS(
        PRICING[Rebate $],
        PRICING[Program],
        {"EOP/ORN","ORN","EOP","NOW","LL/NOW","LL/SLP/NOW","LL/SLP/EOP"},
        PRICING[SKU],
        Rebate_Lookup[[#This Row],[SKU CODE]],
        PRICING[Set],
        4
    )
)</f>
        <v>0</v>
      </c>
      <c r="N24" s="5">
        <f>INDEX(Estimates!H:H,MATCH(Rebate_Lookup[[#This Row],[SKU CODE]],Estimates!A:A,0))</f>
        <v>0</v>
      </c>
      <c r="O24"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24" s="5">
        <f>COUNTIF(Estimates!A:A,Rebate_Lookup[[#This Row],[SKU CODE]])</f>
        <v>1</v>
      </c>
      <c r="Q24" s="6" t="b">
        <f>IFERROR(Rebate_Lookup[[#This Row],[Order Form Quantity]]&gt;=Rebate_Lookup[[#This Row],[MOQ_2]],0)</f>
        <v>1</v>
      </c>
    </row>
    <row r="25" spans="1:17" hidden="1" x14ac:dyDescent="0.2">
      <c r="A25" s="168" t="s">
        <v>92</v>
      </c>
      <c r="B25" s="5" t="str">
        <f>INDEX(PRICING[Agency/TT],MATCH(Rebate_Lookup[[#This Row],[SKU CODE]],PRICING[SKU],0))</f>
        <v>TT</v>
      </c>
      <c r="C25" s="5" t="str">
        <f>INDEX(PRICING[Product],MATCH(Rebate_Lookup[[#This Row],[SKU CODE]],PRICING[SKU],0))</f>
        <v>Durentis® 0.067% On-Fertilizer</v>
      </c>
      <c r="D25" s="5" t="str">
        <f>INDEX(PRICING[Size],MATCH(Rebate_Lookup[[#This Row],[SKU CODE]],PRICING[SKU],0))</f>
        <v>50 lb</v>
      </c>
      <c r="E25" s="5" cm="1">
        <f t="array" ref="E25">SUM(COUNTIFS(
    PRICING[Program],{"EOP/ORN","ORN","EOP","NOW","LL/NOW","LL/SLP/NOW","LL/SLP/EOP"},
    PRICING[SKU],A25
))</f>
        <v>1</v>
      </c>
      <c r="F25" s="5" cm="1">
        <f t="array" ref="F25">IFERROR(
MIN(
_xlfn._xlws.FILTER(
--_xlfn.TEXTBEFORE(
SUBSTITUTE(
SUBSTITUTE(PRICING[Min Qty],"+"," "),
"-"," "
),
" "
),
(PRICING[SKU]=$A25)*
(PRICING[Set]=1)*
(PRICING[Rebate $]&lt;&gt;0)*
(PRICING[Rebate $]&lt;&gt;"")
)
),
0
)</f>
        <v>0</v>
      </c>
      <c r="G25" s="5" cm="1">
        <f t="array" ref="G25">IFERROR(
MIN(
_xlfn._xlws.FILTER(
--_xlfn.TEXTBEFORE(
SUBSTITUTE(
SUBSTITUTE(PRICING[Min Qty],"+"," "),
"-"," "
),
" "
),
(PRICING[SKU]=$A25)*
(PRICING[Set]=2)*
(PRICING[Rebate $]&lt;&gt;0)*
(PRICING[Rebate $]&lt;&gt;"")
)
),
0
)</f>
        <v>0</v>
      </c>
      <c r="H25" s="5" cm="1">
        <f t="array" ref="H25">IFERROR(
MIN(
_xlfn._xlws.FILTER(
--_xlfn.TEXTBEFORE(
SUBSTITUTE(
SUBSTITUTE(PRICING[Min Qty],"+"," "),
"-"," "
),
" "
),
(PRICING[SKU]=$A25)*
(PRICING[Set]=3)*
(PRICING[Rebate $]&lt;&gt;0)*
(PRICING[Rebate $]&lt;&gt;"")
)
),
0
)</f>
        <v>0</v>
      </c>
      <c r="I25" s="5" cm="1">
        <f t="array" ref="I25">IFERROR(
MIN(
_xlfn._xlws.FILTER(
--_xlfn.TEXTBEFORE(
SUBSTITUTE(
SUBSTITUTE(PRICING[Min Qty],"+"," "),
"-"," "
),
" "
),
(PRICING[SKU]=$A25)*
(PRICING[Set]=4)*
(PRICING[Rebate $]&lt;&gt;0)*
(PRICING[Rebate $]&lt;&gt;"")
)
),
0
)</f>
        <v>0</v>
      </c>
      <c r="J25" s="5" cm="1">
        <f t="array" ref="J25">SUM(
    SUMIFS(
        PRICING[Rebate $],
        PRICING[Program],
        {"EOP/ORN","ORN","EOP","NOW","LL/NOW","LL/SLP/NOW","LL/SLP/EOP"},
        PRICING[SKU],
        Rebate_Lookup[[#This Row],[SKU CODE]],
        PRICING[Set],
        1
    )
)</f>
        <v>5.5</v>
      </c>
      <c r="K25" s="5" cm="1">
        <f t="array" ref="K25">SUM(
    SUMIFS(
        PRICING[Rebate $],
        PRICING[Program],
        {"EOP/ORN","ORN","EOP","NOW","LL/NOW","LL/SLP/NOW","LL/SLP/EOP"},
        PRICING[SKU],
        Rebate_Lookup[[#This Row],[SKU CODE]],
        PRICING[Set],
        2
    )
)</f>
        <v>0</v>
      </c>
      <c r="L25" s="5" cm="1">
        <f t="array" ref="L25">SUM(
    SUMIFS(
        PRICING[Rebate $],
        PRICING[Program],
        {"EOP/ORN","ORN","EOP","NOW","LL/NOW","LL/SLP/NOW","LL/SLP/EOP"},
        PRICING[SKU],
        Rebate_Lookup[[#This Row],[SKU CODE]],
        PRICING[Set],
        3
    )
)</f>
        <v>0</v>
      </c>
      <c r="M25" s="5" cm="1">
        <f t="array" ref="M25">SUM(
    SUMIFS(
        PRICING[Rebate $],
        PRICING[Program],
        {"EOP/ORN","ORN","EOP","NOW","LL/NOW","LL/SLP/NOW","LL/SLP/EOP"},
        PRICING[SKU],
        Rebate_Lookup[[#This Row],[SKU CODE]],
        PRICING[Set],
        4
    )
)</f>
        <v>0</v>
      </c>
      <c r="N25" s="5">
        <f>INDEX(Estimates!H:H,MATCH(Rebate_Lookup[[#This Row],[SKU CODE]],Estimates!A:A,0))</f>
        <v>0</v>
      </c>
      <c r="O25"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25" s="5">
        <f>COUNTIF(Estimates!A:A,Rebate_Lookup[[#This Row],[SKU CODE]])</f>
        <v>1</v>
      </c>
      <c r="Q25" s="6" t="b">
        <f>IFERROR(Rebate_Lookup[[#This Row],[Order Form Quantity]]&gt;=Rebate_Lookup[[#This Row],[MOQ_2]],0)</f>
        <v>1</v>
      </c>
    </row>
    <row r="26" spans="1:17" x14ac:dyDescent="0.2">
      <c r="A26" s="168">
        <v>11015390</v>
      </c>
      <c r="B26" s="5" t="str">
        <f>INDEX(PRICING[Agency/TT],MATCH(Rebate_Lookup[[#This Row],[SKU CODE]],PRICING[SKU],0))</f>
        <v>A</v>
      </c>
      <c r="C26" s="5" t="str">
        <f>INDEX(PRICING[Product],MATCH(Rebate_Lookup[[#This Row],[SKU CODE]],PRICING[SKU],0))</f>
        <v xml:space="preserve">Durentis® Insecticide  </v>
      </c>
      <c r="D26" s="5" t="str">
        <f>INDEX(PRICING[Size],MATCH(Rebate_Lookup[[#This Row],[SKU CODE]],PRICING[SKU],0))</f>
        <v>16 oz</v>
      </c>
      <c r="E26" s="5" cm="1">
        <f t="array" ref="E26">SUM(COUNTIFS(
    PRICING[Program],{"EOP/ORN","ORN","EOP","NOW","LL/NOW","LL/SLP/NOW","LL/SLP/EOP"},
    PRICING[SKU],A26
))</f>
        <v>2</v>
      </c>
      <c r="F26" s="5" cm="1">
        <f t="array" ref="F26">IFERROR(
MIN(
_xlfn._xlws.FILTER(
--_xlfn.TEXTBEFORE(
SUBSTITUTE(
SUBSTITUTE(PRICING[Min Qty],"+"," "),
"-"," "
),
" "
),
(PRICING[SKU]=$A26)*
(PRICING[Set]=1)*
(PRICING[Rebate $]&lt;&gt;0)*
(PRICING[Rebate $]&lt;&gt;"")
)
),
0
)</f>
        <v>0</v>
      </c>
      <c r="G26" s="5" cm="1">
        <f t="array" ref="G26">IFERROR(
MIN(
_xlfn._xlws.FILTER(
--_xlfn.TEXTBEFORE(
SUBSTITUTE(
SUBSTITUTE(PRICING[Min Qty],"+"," "),
"-"," "
),
" "
),
(PRICING[SKU]=$A26)*
(PRICING[Set]=2)*
(PRICING[Rebate $]&lt;&gt;0)*
(PRICING[Rebate $]&lt;&gt;"")
)
),
0
)</f>
        <v>4</v>
      </c>
      <c r="H26" s="5" cm="1">
        <f t="array" ref="H26">IFERROR(
MIN(
_xlfn._xlws.FILTER(
--_xlfn.TEXTBEFORE(
SUBSTITUTE(
SUBSTITUTE(PRICING[Min Qty],"+"," "),
"-"," "
),
" "
),
(PRICING[SKU]=$A26)*
(PRICING[Set]=3)*
(PRICING[Rebate $]&lt;&gt;0)*
(PRICING[Rebate $]&lt;&gt;"")
)
),
0
)</f>
        <v>0</v>
      </c>
      <c r="I26" s="5" cm="1">
        <f t="array" ref="I26">IFERROR(
MIN(
_xlfn._xlws.FILTER(
--_xlfn.TEXTBEFORE(
SUBSTITUTE(
SUBSTITUTE(PRICING[Min Qty],"+"," "),
"-"," "
),
" "
),
(PRICING[SKU]=$A26)*
(PRICING[Set]=4)*
(PRICING[Rebate $]&lt;&gt;0)*
(PRICING[Rebate $]&lt;&gt;"")
)
),
0
)</f>
        <v>0</v>
      </c>
      <c r="J26" s="5" cm="1">
        <f t="array" ref="J26">SUM(
    SUMIFS(
        PRICING[Rebate $],
        PRICING[Program],
        {"EOP/ORN","ORN","EOP","NOW","LL/NOW","LL/SLP/NOW","LL/SLP/EOP"},
        PRICING[SKU],
        Rebate_Lookup[[#This Row],[SKU CODE]],
        PRICING[Set],
        1
    )
)</f>
        <v>0</v>
      </c>
      <c r="K26" s="5" cm="1">
        <f t="array" ref="K26">SUM(
    SUMIFS(
        PRICING[Rebate $],
        PRICING[Program],
        {"EOP/ORN","ORN","EOP","NOW","LL/NOW","LL/SLP/NOW","LL/SLP/EOP"},
        PRICING[SKU],
        Rebate_Lookup[[#This Row],[SKU CODE]],
        PRICING[Set],
        2
    )
)</f>
        <v>185</v>
      </c>
      <c r="L26" s="5" cm="1">
        <f t="array" ref="L26">SUM(
    SUMIFS(
        PRICING[Rebate $],
        PRICING[Program],
        {"EOP/ORN","ORN","EOP","NOW","LL/NOW","LL/SLP/NOW","LL/SLP/EOP"},
        PRICING[SKU],
        Rebate_Lookup[[#This Row],[SKU CODE]],
        PRICING[Set],
        3
    )
)</f>
        <v>0</v>
      </c>
      <c r="M26" s="5" cm="1">
        <f t="array" ref="M26">SUM(
    SUMIFS(
        PRICING[Rebate $],
        PRICING[Program],
        {"EOP/ORN","ORN","EOP","NOW","LL/NOW","LL/SLP/NOW","LL/SLP/EOP"},
        PRICING[SKU],
        Rebate_Lookup[[#This Row],[SKU CODE]],
        PRICING[Set],
        4
    )
)</f>
        <v>0</v>
      </c>
      <c r="N26" s="5">
        <f>INDEX(Estimates!H:H,MATCH(Rebate_Lookup[[#This Row],[SKU CODE]],Estimates!A:A,0))</f>
        <v>0</v>
      </c>
      <c r="O26"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26" s="5">
        <f>COUNTIF(Estimates!A:A,Rebate_Lookup[[#This Row],[SKU CODE]])</f>
        <v>1</v>
      </c>
      <c r="Q26" s="6" t="b">
        <f>IFERROR(Rebate_Lookup[[#This Row],[Order Form Quantity]]&gt;=Rebate_Lookup[[#This Row],[MOQ_2]],0)</f>
        <v>0</v>
      </c>
    </row>
    <row r="27" spans="1:17" x14ac:dyDescent="0.2">
      <c r="A27" s="168">
        <v>11015391</v>
      </c>
      <c r="B27" s="5" t="str">
        <f>INDEX(PRICING[Agency/TT],MATCH(Rebate_Lookup[[#This Row],[SKU CODE]],PRICING[SKU],0))</f>
        <v>A</v>
      </c>
      <c r="C27" s="5" t="str">
        <f>INDEX(PRICING[Product],MATCH(Rebate_Lookup[[#This Row],[SKU CODE]],PRICING[SKU],0))</f>
        <v xml:space="preserve">Durentis® Insecticide  </v>
      </c>
      <c r="D27" s="5" t="str">
        <f>INDEX(PRICING[Size],MATCH(Rebate_Lookup[[#This Row],[SKU CODE]],PRICING[SKU],0))</f>
        <v>64 oz</v>
      </c>
      <c r="E27" s="5" cm="1">
        <f t="array" ref="E27">SUM(COUNTIFS(
    PRICING[Program],{"EOP/ORN","ORN","EOP","NOW","LL/NOW","LL/SLP/NOW","LL/SLP/EOP"},
    PRICING[SKU],A27
))</f>
        <v>3</v>
      </c>
      <c r="F27" s="5" cm="1">
        <f t="array" ref="F27">IFERROR(
MIN(
_xlfn._xlws.FILTER(
--_xlfn.TEXTBEFORE(
SUBSTITUTE(
SUBSTITUTE(PRICING[Min Qty],"+"," "),
"-"," "
),
" "
),
(PRICING[SKU]=$A27)*
(PRICING[Set]=1)*
(PRICING[Rebate $]&lt;&gt;0)*
(PRICING[Rebate $]&lt;&gt;"")
)
),
0
)</f>
        <v>0</v>
      </c>
      <c r="G27" s="5" cm="1">
        <f t="array" ref="G27">IFERROR(
MIN(
_xlfn._xlws.FILTER(
--_xlfn.TEXTBEFORE(
SUBSTITUTE(
SUBSTITUTE(PRICING[Min Qty],"+"," "),
"-"," "
),
" "
),
(PRICING[SKU]=$A27)*
(PRICING[Set]=2)*
(PRICING[Rebate $]&lt;&gt;0)*
(PRICING[Rebate $]&lt;&gt;"")
)
),
0
)</f>
        <v>2</v>
      </c>
      <c r="H27" s="5" cm="1">
        <f t="array" ref="H27">IFERROR(
MIN(
_xlfn._xlws.FILTER(
--_xlfn.TEXTBEFORE(
SUBSTITUTE(
SUBSTITUTE(PRICING[Min Qty],"+"," "),
"-"," "
),
" "
),
(PRICING[SKU]=$A27)*
(PRICING[Set]=3)*
(PRICING[Rebate $]&lt;&gt;0)*
(PRICING[Rebate $]&lt;&gt;"")
)
),
0
)</f>
        <v>4</v>
      </c>
      <c r="I27" s="5" cm="1">
        <f t="array" ref="I27">IFERROR(
MIN(
_xlfn._xlws.FILTER(
--_xlfn.TEXTBEFORE(
SUBSTITUTE(
SUBSTITUTE(PRICING[Min Qty],"+"," "),
"-"," "
),
" "
),
(PRICING[SKU]=$A27)*
(PRICING[Set]=4)*
(PRICING[Rebate $]&lt;&gt;0)*
(PRICING[Rebate $]&lt;&gt;"")
)
),
0
)</f>
        <v>0</v>
      </c>
      <c r="J27" s="5" cm="1">
        <f t="array" ref="J27">SUM(
    SUMIFS(
        PRICING[Rebate $],
        PRICING[Program],
        {"EOP/ORN","ORN","EOP","NOW","LL/NOW","LL/SLP/NOW","LL/SLP/EOP"},
        PRICING[SKU],
        Rebate_Lookup[[#This Row],[SKU CODE]],
        PRICING[Set],
        1
    )
)</f>
        <v>0</v>
      </c>
      <c r="K27" s="5" cm="1">
        <f t="array" ref="K27">SUM(
    SUMIFS(
        PRICING[Rebate $],
        PRICING[Program],
        {"EOP/ORN","ORN","EOP","NOW","LL/NOW","LL/SLP/NOW","LL/SLP/EOP"},
        PRICING[SKU],
        Rebate_Lookup[[#This Row],[SKU CODE]],
        PRICING[Set],
        2
    )
)</f>
        <v>482</v>
      </c>
      <c r="L27" s="5" cm="1">
        <f t="array" ref="L27">SUM(
    SUMIFS(
        PRICING[Rebate $],
        PRICING[Program],
        {"EOP/ORN","ORN","EOP","NOW","LL/NOW","LL/SLP/NOW","LL/SLP/EOP"},
        PRICING[SKU],
        Rebate_Lookup[[#This Row],[SKU CODE]],
        PRICING[Set],
        3
    )
)</f>
        <v>650</v>
      </c>
      <c r="M27" s="5" cm="1">
        <f t="array" ref="M27">SUM(
    SUMIFS(
        PRICING[Rebate $],
        PRICING[Program],
        {"EOP/ORN","ORN","EOP","NOW","LL/NOW","LL/SLP/NOW","LL/SLP/EOP"},
        PRICING[SKU],
        Rebate_Lookup[[#This Row],[SKU CODE]],
        PRICING[Set],
        4
    )
)</f>
        <v>0</v>
      </c>
      <c r="N27" s="5">
        <f>INDEX(Estimates!H:H,MATCH(Rebate_Lookup[[#This Row],[SKU CODE]],Estimates!A:A,0))</f>
        <v>0</v>
      </c>
      <c r="O27"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27" s="5">
        <f>COUNTIF(Estimates!A:A,Rebate_Lookup[[#This Row],[SKU CODE]])</f>
        <v>1</v>
      </c>
      <c r="Q27" s="6" t="b">
        <f>IFERROR(Rebate_Lookup[[#This Row],[Order Form Quantity]]&gt;=Rebate_Lookup[[#This Row],[MOQ_2]],0)</f>
        <v>0</v>
      </c>
    </row>
    <row r="28" spans="1:17" hidden="1" x14ac:dyDescent="0.2">
      <c r="A28" s="168" t="s">
        <v>93</v>
      </c>
      <c r="B28" s="5" t="str">
        <f>INDEX(PRICING[Agency/TT],MATCH(Rebate_Lookup[[#This Row],[SKU CODE]],PRICING[SKU],0))</f>
        <v>TT</v>
      </c>
      <c r="C28" s="5" t="str">
        <f>INDEX(PRICING[Product],MATCH(Rebate_Lookup[[#This Row],[SKU CODE]],PRICING[SKU],0))</f>
        <v xml:space="preserve">Dylox® 420 SL </v>
      </c>
      <c r="D28" s="5" t="str">
        <f>INDEX(PRICING[Size],MATCH(Rebate_Lookup[[#This Row],[SKU CODE]],PRICING[SKU],0))</f>
        <v xml:space="preserve">2.5 gal </v>
      </c>
      <c r="E28" s="5" cm="1">
        <f t="array" ref="E28">SUM(COUNTIFS(
    PRICING[Program],{"EOP/ORN","ORN","EOP","NOW","LL/NOW","LL/SLP/NOW","LL/SLP/EOP"},
    PRICING[SKU],A28
))</f>
        <v>1</v>
      </c>
      <c r="F28" s="5" cm="1">
        <f t="array" ref="F28">IFERROR(
MIN(
_xlfn._xlws.FILTER(
--_xlfn.TEXTBEFORE(
SUBSTITUTE(
SUBSTITUTE(PRICING[Min Qty],"+"," "),
"-"," "
),
" "
),
(PRICING[SKU]=$A28)*
(PRICING[Set]=1)*
(PRICING[Rebate $]&lt;&gt;0)*
(PRICING[Rebate $]&lt;&gt;"")
)
),
0
)</f>
        <v>0</v>
      </c>
      <c r="G28" s="5" cm="1">
        <f t="array" ref="G28">IFERROR(
MIN(
_xlfn._xlws.FILTER(
--_xlfn.TEXTBEFORE(
SUBSTITUTE(
SUBSTITUTE(PRICING[Min Qty],"+"," "),
"-"," "
),
" "
),
(PRICING[SKU]=$A28)*
(PRICING[Set]=2)*
(PRICING[Rebate $]&lt;&gt;0)*
(PRICING[Rebate $]&lt;&gt;"")
)
),
0
)</f>
        <v>0</v>
      </c>
      <c r="H28" s="5" cm="1">
        <f t="array" ref="H28">IFERROR(
MIN(
_xlfn._xlws.FILTER(
--_xlfn.TEXTBEFORE(
SUBSTITUTE(
SUBSTITUTE(PRICING[Min Qty],"+"," "),
"-"," "
),
" "
),
(PRICING[SKU]=$A28)*
(PRICING[Set]=3)*
(PRICING[Rebate $]&lt;&gt;0)*
(PRICING[Rebate $]&lt;&gt;"")
)
),
0
)</f>
        <v>0</v>
      </c>
      <c r="I28" s="5" cm="1">
        <f t="array" ref="I28">IFERROR(
MIN(
_xlfn._xlws.FILTER(
--_xlfn.TEXTBEFORE(
SUBSTITUTE(
SUBSTITUTE(PRICING[Min Qty],"+"," "),
"-"," "
),
" "
),
(PRICING[SKU]=$A28)*
(PRICING[Set]=4)*
(PRICING[Rebate $]&lt;&gt;0)*
(PRICING[Rebate $]&lt;&gt;"")
)
),
0
)</f>
        <v>0</v>
      </c>
      <c r="J28" s="5" cm="1">
        <f t="array" ref="J28">SUM(
    SUMIFS(
        PRICING[Rebate $],
        PRICING[Program],
        {"EOP/ORN","ORN","EOP","NOW","LL/NOW","LL/SLP/NOW","LL/SLP/EOP"},
        PRICING[SKU],
        Rebate_Lookup[[#This Row],[SKU CODE]],
        PRICING[Set],
        1
    )
)</f>
        <v>4</v>
      </c>
      <c r="K28" s="5" cm="1">
        <f t="array" ref="K28">SUM(
    SUMIFS(
        PRICING[Rebate $],
        PRICING[Program],
        {"EOP/ORN","ORN","EOP","NOW","LL/NOW","LL/SLP/NOW","LL/SLP/EOP"},
        PRICING[SKU],
        Rebate_Lookup[[#This Row],[SKU CODE]],
        PRICING[Set],
        2
    )
)</f>
        <v>0</v>
      </c>
      <c r="L28" s="5" cm="1">
        <f t="array" ref="L28">SUM(
    SUMIFS(
        PRICING[Rebate $],
        PRICING[Program],
        {"EOP/ORN","ORN","EOP","NOW","LL/NOW","LL/SLP/NOW","LL/SLP/EOP"},
        PRICING[SKU],
        Rebate_Lookup[[#This Row],[SKU CODE]],
        PRICING[Set],
        3
    )
)</f>
        <v>0</v>
      </c>
      <c r="M28" s="5" cm="1">
        <f t="array" ref="M28">SUM(
    SUMIFS(
        PRICING[Rebate $],
        PRICING[Program],
        {"EOP/ORN","ORN","EOP","NOW","LL/NOW","LL/SLP/NOW","LL/SLP/EOP"},
        PRICING[SKU],
        Rebate_Lookup[[#This Row],[SKU CODE]],
        PRICING[Set],
        4
    )
)</f>
        <v>0</v>
      </c>
      <c r="N28" s="5">
        <f>INDEX(Estimates!H:H,MATCH(Rebate_Lookup[[#This Row],[SKU CODE]],Estimates!A:A,0))</f>
        <v>0</v>
      </c>
      <c r="O28"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28" s="5">
        <f>COUNTIF(Estimates!A:A,Rebate_Lookup[[#This Row],[SKU CODE]])</f>
        <v>1</v>
      </c>
      <c r="Q28" s="6" t="b">
        <f>IFERROR(Rebate_Lookup[[#This Row],[Order Form Quantity]]&gt;=Rebate_Lookup[[#This Row],[MOQ_2]],0)</f>
        <v>1</v>
      </c>
    </row>
    <row r="29" spans="1:17" hidden="1" x14ac:dyDescent="0.2">
      <c r="A29" s="168" t="s">
        <v>94</v>
      </c>
      <c r="B29" s="5" t="str">
        <f>INDEX(PRICING[Agency/TT],MATCH(Rebate_Lookup[[#This Row],[SKU CODE]],PRICING[SKU],0))</f>
        <v>TT</v>
      </c>
      <c r="C29" s="5" t="str">
        <f>INDEX(PRICING[Product],MATCH(Rebate_Lookup[[#This Row],[SKU CODE]],PRICING[SKU],0))</f>
        <v>Dylox® 6.2 G</v>
      </c>
      <c r="D29" s="5" t="str">
        <f>INDEX(PRICING[Size],MATCH(Rebate_Lookup[[#This Row],[SKU CODE]],PRICING[SKU],0))</f>
        <v>30 lb</v>
      </c>
      <c r="E29" s="5" cm="1">
        <f t="array" ref="E29">SUM(COUNTIFS(
    PRICING[Program],{"EOP/ORN","ORN","EOP","NOW","LL/NOW","LL/SLP/NOW","LL/SLP/EOP"},
    PRICING[SKU],A29
))</f>
        <v>1</v>
      </c>
      <c r="F29" s="5" cm="1">
        <f t="array" ref="F29">IFERROR(
MIN(
_xlfn._xlws.FILTER(
--_xlfn.TEXTBEFORE(
SUBSTITUTE(
SUBSTITUTE(PRICING[Min Qty],"+"," "),
"-"," "
),
" "
),
(PRICING[SKU]=$A29)*
(PRICING[Set]=1)*
(PRICING[Rebate $]&lt;&gt;0)*
(PRICING[Rebate $]&lt;&gt;"")
)
),
0
)</f>
        <v>0</v>
      </c>
      <c r="G29" s="5" cm="1">
        <f t="array" ref="G29">IFERROR(
MIN(
_xlfn._xlws.FILTER(
--_xlfn.TEXTBEFORE(
SUBSTITUTE(
SUBSTITUTE(PRICING[Min Qty],"+"," "),
"-"," "
),
" "
),
(PRICING[SKU]=$A29)*
(PRICING[Set]=2)*
(PRICING[Rebate $]&lt;&gt;0)*
(PRICING[Rebate $]&lt;&gt;"")
)
),
0
)</f>
        <v>0</v>
      </c>
      <c r="H29" s="5" cm="1">
        <f t="array" ref="H29">IFERROR(
MIN(
_xlfn._xlws.FILTER(
--_xlfn.TEXTBEFORE(
SUBSTITUTE(
SUBSTITUTE(PRICING[Min Qty],"+"," "),
"-"," "
),
" "
),
(PRICING[SKU]=$A29)*
(PRICING[Set]=3)*
(PRICING[Rebate $]&lt;&gt;0)*
(PRICING[Rebate $]&lt;&gt;"")
)
),
0
)</f>
        <v>0</v>
      </c>
      <c r="I29" s="5" cm="1">
        <f t="array" ref="I29">IFERROR(
MIN(
_xlfn._xlws.FILTER(
--_xlfn.TEXTBEFORE(
SUBSTITUTE(
SUBSTITUTE(PRICING[Min Qty],"+"," "),
"-"," "
),
" "
),
(PRICING[SKU]=$A29)*
(PRICING[Set]=4)*
(PRICING[Rebate $]&lt;&gt;0)*
(PRICING[Rebate $]&lt;&gt;"")
)
),
0
)</f>
        <v>0</v>
      </c>
      <c r="J29" s="5" cm="1">
        <f t="array" ref="J29">SUM(
    SUMIFS(
        PRICING[Rebate $],
        PRICING[Program],
        {"EOP/ORN","ORN","EOP","NOW","LL/NOW","LL/SLP/NOW","LL/SLP/EOP"},
        PRICING[SKU],
        Rebate_Lookup[[#This Row],[SKU CODE]],
        PRICING[Set],
        1
    )
)</f>
        <v>0</v>
      </c>
      <c r="K29" s="5" cm="1">
        <f t="array" ref="K29">SUM(
    SUMIFS(
        PRICING[Rebate $],
        PRICING[Program],
        {"EOP/ORN","ORN","EOP","NOW","LL/NOW","LL/SLP/NOW","LL/SLP/EOP"},
        PRICING[SKU],
        Rebate_Lookup[[#This Row],[SKU CODE]],
        PRICING[Set],
        2
    )
)</f>
        <v>0</v>
      </c>
      <c r="L29" s="5" cm="1">
        <f t="array" ref="L29">SUM(
    SUMIFS(
        PRICING[Rebate $],
        PRICING[Program],
        {"EOP/ORN","ORN","EOP","NOW","LL/NOW","LL/SLP/NOW","LL/SLP/EOP"},
        PRICING[SKU],
        Rebate_Lookup[[#This Row],[SKU CODE]],
        PRICING[Set],
        3
    )
)</f>
        <v>0</v>
      </c>
      <c r="M29" s="5" cm="1">
        <f t="array" ref="M29">SUM(
    SUMIFS(
        PRICING[Rebate $],
        PRICING[Program],
        {"EOP/ORN","ORN","EOP","NOW","LL/NOW","LL/SLP/NOW","LL/SLP/EOP"},
        PRICING[SKU],
        Rebate_Lookup[[#This Row],[SKU CODE]],
        PRICING[Set],
        4
    )
)</f>
        <v>0</v>
      </c>
      <c r="N29" s="5">
        <f>INDEX(Estimates!H:H,MATCH(Rebate_Lookup[[#This Row],[SKU CODE]],Estimates!A:A,0))</f>
        <v>0</v>
      </c>
      <c r="O29"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29" s="5">
        <f>COUNTIF(Estimates!A:A,Rebate_Lookup[[#This Row],[SKU CODE]])</f>
        <v>1</v>
      </c>
      <c r="Q29" s="6" t="b">
        <f>IFERROR(Rebate_Lookup[[#This Row],[Order Form Quantity]]&gt;=Rebate_Lookup[[#This Row],[MOQ_2]],0)</f>
        <v>1</v>
      </c>
    </row>
    <row r="30" spans="1:17" x14ac:dyDescent="0.2">
      <c r="A30" s="168">
        <v>11008464</v>
      </c>
      <c r="B30" s="5" t="str">
        <f>INDEX(PRICING[Agency/TT],MATCH(Rebate_Lookup[[#This Row],[SKU CODE]],PRICING[SKU],0))</f>
        <v>A</v>
      </c>
      <c r="C30" s="5" t="str">
        <f>INDEX(PRICING[Product],MATCH(Rebate_Lookup[[#This Row],[SKU CODE]],PRICING[SKU],0))</f>
        <v>Echelon® 4SC Herbicide</v>
      </c>
      <c r="D30" s="5" t="str">
        <f>INDEX(PRICING[Size],MATCH(Rebate_Lookup[[#This Row],[SKU CODE]],PRICING[SKU],0))</f>
        <v>1 gal</v>
      </c>
      <c r="E30" s="5" cm="1">
        <f t="array" ref="E30">SUM(COUNTIFS(
    PRICING[Program],{"EOP/ORN","ORN","EOP","NOW","LL/NOW","LL/SLP/NOW","LL/SLP/EOP"},
    PRICING[SKU],A30
))</f>
        <v>2</v>
      </c>
      <c r="F30" s="5" cm="1">
        <f t="array" ref="F30">IFERROR(
MIN(
_xlfn._xlws.FILTER(
--_xlfn.TEXTBEFORE(
SUBSTITUTE(
SUBSTITUTE(PRICING[Min Qty],"+"," "),
"-"," "
),
" "
),
(PRICING[SKU]=$A30)*
(PRICING[Set]=1)*
(PRICING[Rebate $]&lt;&gt;0)*
(PRICING[Rebate $]&lt;&gt;"")
)
),
0
)</f>
        <v>0</v>
      </c>
      <c r="G30" s="5" cm="1">
        <f t="array" ref="G30">IFERROR(
MIN(
_xlfn._xlws.FILTER(
--_xlfn.TEXTBEFORE(
SUBSTITUTE(
SUBSTITUTE(PRICING[Min Qty],"+"," "),
"-"," "
),
" "
),
(PRICING[SKU]=$A30)*
(PRICING[Set]=2)*
(PRICING[Rebate $]&lt;&gt;0)*
(PRICING[Rebate $]&lt;&gt;"")
)
),
0
)</f>
        <v>8</v>
      </c>
      <c r="H30" s="5" cm="1">
        <f t="array" ref="H30">IFERROR(
MIN(
_xlfn._xlws.FILTER(
--_xlfn.TEXTBEFORE(
SUBSTITUTE(
SUBSTITUTE(PRICING[Min Qty],"+"," "),
"-"," "
),
" "
),
(PRICING[SKU]=$A30)*
(PRICING[Set]=3)*
(PRICING[Rebate $]&lt;&gt;0)*
(PRICING[Rebate $]&lt;&gt;"")
)
),
0
)</f>
        <v>0</v>
      </c>
      <c r="I30" s="5" cm="1">
        <f t="array" ref="I30">IFERROR(
MIN(
_xlfn._xlws.FILTER(
--_xlfn.TEXTBEFORE(
SUBSTITUTE(
SUBSTITUTE(PRICING[Min Qty],"+"," "),
"-"," "
),
" "
),
(PRICING[SKU]=$A30)*
(PRICING[Set]=4)*
(PRICING[Rebate $]&lt;&gt;0)*
(PRICING[Rebate $]&lt;&gt;"")
)
),
0
)</f>
        <v>0</v>
      </c>
      <c r="J30" s="5" cm="1">
        <f t="array" ref="J30">SUM(
    SUMIFS(
        PRICING[Rebate $],
        PRICING[Program],
        {"EOP/ORN","ORN","EOP","NOW","LL/NOW","LL/SLP/NOW","LL/SLP/EOP"},
        PRICING[SKU],
        Rebate_Lookup[[#This Row],[SKU CODE]],
        PRICING[Set],
        1
    )
)</f>
        <v>0</v>
      </c>
      <c r="K30" s="5" cm="1">
        <f t="array" ref="K30">SUM(
    SUMIFS(
        PRICING[Rebate $],
        PRICING[Program],
        {"EOP/ORN","ORN","EOP","NOW","LL/NOW","LL/SLP/NOW","LL/SLP/EOP"},
        PRICING[SKU],
        Rebate_Lookup[[#This Row],[SKU CODE]],
        PRICING[Set],
        2
    )
)</f>
        <v>47</v>
      </c>
      <c r="L30" s="5" cm="1">
        <f t="array" ref="L30">SUM(
    SUMIFS(
        PRICING[Rebate $],
        PRICING[Program],
        {"EOP/ORN","ORN","EOP","NOW","LL/NOW","LL/SLP/NOW","LL/SLP/EOP"},
        PRICING[SKU],
        Rebate_Lookup[[#This Row],[SKU CODE]],
        PRICING[Set],
        3
    )
)</f>
        <v>0</v>
      </c>
      <c r="M30" s="5" cm="1">
        <f t="array" ref="M30">SUM(
    SUMIFS(
        PRICING[Rebate $],
        PRICING[Program],
        {"EOP/ORN","ORN","EOP","NOW","LL/NOW","LL/SLP/NOW","LL/SLP/EOP"},
        PRICING[SKU],
        Rebate_Lookup[[#This Row],[SKU CODE]],
        PRICING[Set],
        4
    )
)</f>
        <v>0</v>
      </c>
      <c r="N30" s="5">
        <f>INDEX(Estimates!H:H,MATCH(Rebate_Lookup[[#This Row],[SKU CODE]],Estimates!A:A,0))</f>
        <v>0</v>
      </c>
      <c r="O30"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30" s="5">
        <f>COUNTIF(Estimates!A:A,Rebate_Lookup[[#This Row],[SKU CODE]])</f>
        <v>1</v>
      </c>
      <c r="Q30" s="6" t="b">
        <f>IFERROR(Rebate_Lookup[[#This Row],[Order Form Quantity]]&gt;=Rebate_Lookup[[#This Row],[MOQ_2]],0)</f>
        <v>0</v>
      </c>
    </row>
    <row r="31" spans="1:17" x14ac:dyDescent="0.2">
      <c r="A31" s="170" t="s">
        <v>58</v>
      </c>
      <c r="B31" s="5" t="str">
        <f>INDEX(PRICING[Agency/TT],MATCH(Rebate_Lookup[[#This Row],[SKU CODE]],PRICING[SKU],0))</f>
        <v>A</v>
      </c>
      <c r="C31" s="5" t="str">
        <f>INDEX(PRICING[Product],MATCH(Rebate_Lookup[[#This Row],[SKU CODE]],PRICING[SKU],0))</f>
        <v>Exteris® Stressgard®</v>
      </c>
      <c r="D31" s="5" t="str">
        <f>INDEX(PRICING[Size],MATCH(Rebate_Lookup[[#This Row],[SKU CODE]],PRICING[SKU],0))</f>
        <v> 2.5 gal</v>
      </c>
      <c r="E31" s="5" cm="1">
        <f t="array" ref="E31">SUM(COUNTIFS(
    PRICING[Program],{"EOP/ORN","ORN","EOP","NOW","LL/NOW","LL/SLP/NOW","LL/SLP/EOP"},
    PRICING[SKU],A31
))</f>
        <v>2</v>
      </c>
      <c r="F31" s="5" cm="1">
        <f t="array" ref="F31">IFERROR(
MIN(
_xlfn._xlws.FILTER(
--_xlfn.TEXTBEFORE(
SUBSTITUTE(
SUBSTITUTE(PRICING[Min Qty],"+"," "),
"-"," "
),
" "
),
(PRICING[SKU]=$A31)*
(PRICING[Set]=1)*
(PRICING[Rebate $]&lt;&gt;0)*
(PRICING[Rebate $]&lt;&gt;"")
)
),
0
)</f>
        <v>0</v>
      </c>
      <c r="G31" s="5" cm="1">
        <f t="array" ref="G31">IFERROR(
MIN(
_xlfn._xlws.FILTER(
--_xlfn.TEXTBEFORE(
SUBSTITUTE(
SUBSTITUTE(PRICING[Min Qty],"+"," "),
"-"," "
),
" "
),
(PRICING[SKU]=$A31)*
(PRICING[Set]=2)*
(PRICING[Rebate $]&lt;&gt;0)*
(PRICING[Rebate $]&lt;&gt;"")
)
),
0
)</f>
        <v>6</v>
      </c>
      <c r="H31" s="5" cm="1">
        <f t="array" ref="H31">IFERROR(
MIN(
_xlfn._xlws.FILTER(
--_xlfn.TEXTBEFORE(
SUBSTITUTE(
SUBSTITUTE(PRICING[Min Qty],"+"," "),
"-"," "
),
" "
),
(PRICING[SKU]=$A31)*
(PRICING[Set]=3)*
(PRICING[Rebate $]&lt;&gt;0)*
(PRICING[Rebate $]&lt;&gt;"")
)
),
0
)</f>
        <v>0</v>
      </c>
      <c r="I31" s="5" cm="1">
        <f t="array" ref="I31">IFERROR(
MIN(
_xlfn._xlws.FILTER(
--_xlfn.TEXTBEFORE(
SUBSTITUTE(
SUBSTITUTE(PRICING[Min Qty],"+"," "),
"-"," "
),
" "
),
(PRICING[SKU]=$A31)*
(PRICING[Set]=4)*
(PRICING[Rebate $]&lt;&gt;0)*
(PRICING[Rebate $]&lt;&gt;"")
)
),
0
)</f>
        <v>0</v>
      </c>
      <c r="J31" s="5" cm="1">
        <f t="array" ref="J31">SUM(
    SUMIFS(
        PRICING[Rebate $],
        PRICING[Program],
        {"EOP/ORN","ORN","EOP","NOW","LL/NOW","LL/SLP/NOW","LL/SLP/EOP"},
        PRICING[SKU],
        Rebate_Lookup[[#This Row],[SKU CODE]],
        PRICING[Set],
        1
    )
)</f>
        <v>0</v>
      </c>
      <c r="K31" s="5" cm="1">
        <f t="array" ref="K31">SUM(
    SUMIFS(
        PRICING[Rebate $],
        PRICING[Program],
        {"EOP/ORN","ORN","EOP","NOW","LL/NOW","LL/SLP/NOW","LL/SLP/EOP"},
        PRICING[SKU],
        Rebate_Lookup[[#This Row],[SKU CODE]],
        PRICING[Set],
        2
    )
)</f>
        <v>40</v>
      </c>
      <c r="L31" s="5" cm="1">
        <f t="array" ref="L31">SUM(
    SUMIFS(
        PRICING[Rebate $],
        PRICING[Program],
        {"EOP/ORN","ORN","EOP","NOW","LL/NOW","LL/SLP/NOW","LL/SLP/EOP"},
        PRICING[SKU],
        Rebate_Lookup[[#This Row],[SKU CODE]],
        PRICING[Set],
        3
    )
)</f>
        <v>0</v>
      </c>
      <c r="M31" s="5" cm="1">
        <f t="array" ref="M31">SUM(
    SUMIFS(
        PRICING[Rebate $],
        PRICING[Program],
        {"EOP/ORN","ORN","EOP","NOW","LL/NOW","LL/SLP/NOW","LL/SLP/EOP"},
        PRICING[SKU],
        Rebate_Lookup[[#This Row],[SKU CODE]],
        PRICING[Set],
        4
    )
)</f>
        <v>0</v>
      </c>
      <c r="N31" s="5">
        <f>INDEX(Estimates!H:H,MATCH(Rebate_Lookup[[#This Row],[SKU CODE]],Estimates!A:A,0))</f>
        <v>0</v>
      </c>
      <c r="O31"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31" s="5">
        <f>COUNTIF(Estimates!A:A,Rebate_Lookup[[#This Row],[SKU CODE]])</f>
        <v>1</v>
      </c>
      <c r="Q31" s="6" t="b">
        <f>IFERROR(Rebate_Lookup[[#This Row],[Order Form Quantity]]&gt;=Rebate_Lookup[[#This Row],[MOQ_2]],0)</f>
        <v>0</v>
      </c>
    </row>
    <row r="32" spans="1:17" x14ac:dyDescent="0.2">
      <c r="A32" s="168">
        <v>11008377</v>
      </c>
      <c r="B32" s="5" t="str">
        <f>INDEX(PRICING[Agency/TT],MATCH(Rebate_Lookup[[#This Row],[SKU CODE]],PRICING[SKU],0))</f>
        <v>A</v>
      </c>
      <c r="C32" s="5" t="str">
        <f>INDEX(PRICING[Product],MATCH(Rebate_Lookup[[#This Row],[SKU CODE]],PRICING[SKU],0))</f>
        <v>Fame® +C Fungicide</v>
      </c>
      <c r="D32" s="5" t="str">
        <f>INDEX(PRICING[Size],MATCH(Rebate_Lookup[[#This Row],[SKU CODE]],PRICING[SKU],0))</f>
        <v>2.5 gal</v>
      </c>
      <c r="E32" s="5" cm="1">
        <f t="array" ref="E32">SUM(COUNTIFS(
    PRICING[Program],{"EOP/ORN","ORN","EOP","NOW","LL/NOW","LL/SLP/NOW","LL/SLP/EOP"},
    PRICING[SKU],A32
))</f>
        <v>1</v>
      </c>
      <c r="F32" s="5" cm="1">
        <f t="array" ref="F32">IFERROR(
MIN(
_xlfn._xlws.FILTER(
--_xlfn.TEXTBEFORE(
SUBSTITUTE(
SUBSTITUTE(PRICING[Min Qty],"+"," "),
"-"," "
),
" "
),
(PRICING[SKU]=$A32)*
(PRICING[Set]=1)*
(PRICING[Rebate $]&lt;&gt;0)*
(PRICING[Rebate $]&lt;&gt;"")
)
),
0
)</f>
        <v>0</v>
      </c>
      <c r="G32" s="5" cm="1">
        <f t="array" ref="G32">IFERROR(
MIN(
_xlfn._xlws.FILTER(
--_xlfn.TEXTBEFORE(
SUBSTITUTE(
SUBSTITUTE(PRICING[Min Qty],"+"," "),
"-"," "
),
" "
),
(PRICING[SKU]=$A32)*
(PRICING[Set]=2)*
(PRICING[Rebate $]&lt;&gt;0)*
(PRICING[Rebate $]&lt;&gt;"")
)
),
0
)</f>
        <v>0</v>
      </c>
      <c r="H32" s="5" cm="1">
        <f t="array" ref="H32">IFERROR(
MIN(
_xlfn._xlws.FILTER(
--_xlfn.TEXTBEFORE(
SUBSTITUTE(
SUBSTITUTE(PRICING[Min Qty],"+"," "),
"-"," "
),
" "
),
(PRICING[SKU]=$A32)*
(PRICING[Set]=3)*
(PRICING[Rebate $]&lt;&gt;0)*
(PRICING[Rebate $]&lt;&gt;"")
)
),
0
)</f>
        <v>0</v>
      </c>
      <c r="I32" s="5" cm="1">
        <f t="array" ref="I32">IFERROR(
MIN(
_xlfn._xlws.FILTER(
--_xlfn.TEXTBEFORE(
SUBSTITUTE(
SUBSTITUTE(PRICING[Min Qty],"+"," "),
"-"," "
),
" "
),
(PRICING[SKU]=$A32)*
(PRICING[Set]=4)*
(PRICING[Rebate $]&lt;&gt;0)*
(PRICING[Rebate $]&lt;&gt;"")
)
),
0
)</f>
        <v>0</v>
      </c>
      <c r="J32" s="5" cm="1">
        <f t="array" ref="J32">SUM(
    SUMIFS(
        PRICING[Rebate $],
        PRICING[Program],
        {"EOP/ORN","ORN","EOP","NOW","LL/NOW","LL/SLP/NOW","LL/SLP/EOP"},
        PRICING[SKU],
        Rebate_Lookup[[#This Row],[SKU CODE]],
        PRICING[Set],
        1
    )
)</f>
        <v>0</v>
      </c>
      <c r="K32" s="5" cm="1">
        <f t="array" ref="K32">SUM(
    SUMIFS(
        PRICING[Rebate $],
        PRICING[Program],
        {"EOP/ORN","ORN","EOP","NOW","LL/NOW","LL/SLP/NOW","LL/SLP/EOP"},
        PRICING[SKU],
        Rebate_Lookup[[#This Row],[SKU CODE]],
        PRICING[Set],
        2
    )
)</f>
        <v>0</v>
      </c>
      <c r="L32" s="5" cm="1">
        <f t="array" ref="L32">SUM(
    SUMIFS(
        PRICING[Rebate $],
        PRICING[Program],
        {"EOP/ORN","ORN","EOP","NOW","LL/NOW","LL/SLP/NOW","LL/SLP/EOP"},
        PRICING[SKU],
        Rebate_Lookup[[#This Row],[SKU CODE]],
        PRICING[Set],
        3
    )
)</f>
        <v>0</v>
      </c>
      <c r="M32" s="5" cm="1">
        <f t="array" ref="M32">SUM(
    SUMIFS(
        PRICING[Rebate $],
        PRICING[Program],
        {"EOP/ORN","ORN","EOP","NOW","LL/NOW","LL/SLP/NOW","LL/SLP/EOP"},
        PRICING[SKU],
        Rebate_Lookup[[#This Row],[SKU CODE]],
        PRICING[Set],
        4
    )
)</f>
        <v>0</v>
      </c>
      <c r="N32" s="5">
        <f>INDEX(Estimates!H:H,MATCH(Rebate_Lookup[[#This Row],[SKU CODE]],Estimates!A:A,0))</f>
        <v>0</v>
      </c>
      <c r="O32"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32" s="5">
        <f>COUNTIF(Estimates!A:A,Rebate_Lookup[[#This Row],[SKU CODE]])</f>
        <v>1</v>
      </c>
      <c r="Q32" s="6" t="b">
        <f>IFERROR(Rebate_Lookup[[#This Row],[Order Form Quantity]]&gt;=Rebate_Lookup[[#This Row],[MOQ_2]],0)</f>
        <v>1</v>
      </c>
    </row>
    <row r="33" spans="1:17" x14ac:dyDescent="0.2">
      <c r="A33" s="168">
        <v>11008393</v>
      </c>
      <c r="B33" s="5" t="str">
        <f>INDEX(PRICING[Agency/TT],MATCH(Rebate_Lookup[[#This Row],[SKU CODE]],PRICING[SKU],0))</f>
        <v>A</v>
      </c>
      <c r="C33" s="5" t="str">
        <f>INDEX(PRICING[Product],MATCH(Rebate_Lookup[[#This Row],[SKU CODE]],PRICING[SKU],0))</f>
        <v>Fame® SC Fungicide</v>
      </c>
      <c r="D33" s="5" t="str">
        <f>INDEX(PRICING[Size],MATCH(Rebate_Lookup[[#This Row],[SKU CODE]],PRICING[SKU],0))</f>
        <v>16 oz</v>
      </c>
      <c r="E33" s="5" cm="1">
        <f t="array" ref="E33">SUM(COUNTIFS(
    PRICING[Program],{"EOP/ORN","ORN","EOP","NOW","LL/NOW","LL/SLP/NOW","LL/SLP/EOP"},
    PRICING[SKU],A33
))</f>
        <v>2</v>
      </c>
      <c r="F33" s="5" cm="1">
        <f t="array" ref="F33">IFERROR(
MIN(
_xlfn._xlws.FILTER(
--_xlfn.TEXTBEFORE(
SUBSTITUTE(
SUBSTITUTE(PRICING[Min Qty],"+"," "),
"-"," "
),
" "
),
(PRICING[SKU]=$A33)*
(PRICING[Set]=1)*
(PRICING[Rebate $]&lt;&gt;0)*
(PRICING[Rebate $]&lt;&gt;"")
)
),
0
)</f>
        <v>0</v>
      </c>
      <c r="G33" s="5" cm="1">
        <f t="array" ref="G33">IFERROR(
MIN(
_xlfn._xlws.FILTER(
--_xlfn.TEXTBEFORE(
SUBSTITUTE(
SUBSTITUTE(PRICING[Min Qty],"+"," "),
"-"," "
),
" "
),
(PRICING[SKU]=$A33)*
(PRICING[Set]=2)*
(PRICING[Rebate $]&lt;&gt;0)*
(PRICING[Rebate $]&lt;&gt;"")
)
),
0
)</f>
        <v>4</v>
      </c>
      <c r="H33" s="5" cm="1">
        <f t="array" ref="H33">IFERROR(
MIN(
_xlfn._xlws.FILTER(
--_xlfn.TEXTBEFORE(
SUBSTITUTE(
SUBSTITUTE(PRICING[Min Qty],"+"," "),
"-"," "
),
" "
),
(PRICING[SKU]=$A33)*
(PRICING[Set]=3)*
(PRICING[Rebate $]&lt;&gt;0)*
(PRICING[Rebate $]&lt;&gt;"")
)
),
0
)</f>
        <v>0</v>
      </c>
      <c r="I33" s="5" cm="1">
        <f t="array" ref="I33">IFERROR(
MIN(
_xlfn._xlws.FILTER(
--_xlfn.TEXTBEFORE(
SUBSTITUTE(
SUBSTITUTE(PRICING[Min Qty],"+"," "),
"-"," "
),
" "
),
(PRICING[SKU]=$A33)*
(PRICING[Set]=4)*
(PRICING[Rebate $]&lt;&gt;0)*
(PRICING[Rebate $]&lt;&gt;"")
)
),
0
)</f>
        <v>0</v>
      </c>
      <c r="J33" s="5" cm="1">
        <f t="array" ref="J33">SUM(
    SUMIFS(
        PRICING[Rebate $],
        PRICING[Program],
        {"EOP/ORN","ORN","EOP","NOW","LL/NOW","LL/SLP/NOW","LL/SLP/EOP"},
        PRICING[SKU],
        Rebate_Lookup[[#This Row],[SKU CODE]],
        PRICING[Set],
        1
    )
)</f>
        <v>0</v>
      </c>
      <c r="K33" s="5" cm="1">
        <f t="array" ref="K33">SUM(
    SUMIFS(
        PRICING[Rebate $],
        PRICING[Program],
        {"EOP/ORN","ORN","EOP","NOW","LL/NOW","LL/SLP/NOW","LL/SLP/EOP"},
        PRICING[SKU],
        Rebate_Lookup[[#This Row],[SKU CODE]],
        PRICING[Set],
        2
    )
)</f>
        <v>70</v>
      </c>
      <c r="L33" s="5" cm="1">
        <f t="array" ref="L33">SUM(
    SUMIFS(
        PRICING[Rebate $],
        PRICING[Program],
        {"EOP/ORN","ORN","EOP","NOW","LL/NOW","LL/SLP/NOW","LL/SLP/EOP"},
        PRICING[SKU],
        Rebate_Lookup[[#This Row],[SKU CODE]],
        PRICING[Set],
        3
    )
)</f>
        <v>0</v>
      </c>
      <c r="M33" s="5" cm="1">
        <f t="array" ref="M33">SUM(
    SUMIFS(
        PRICING[Rebate $],
        PRICING[Program],
        {"EOP/ORN","ORN","EOP","NOW","LL/NOW","LL/SLP/NOW","LL/SLP/EOP"},
        PRICING[SKU],
        Rebate_Lookup[[#This Row],[SKU CODE]],
        PRICING[Set],
        4
    )
)</f>
        <v>0</v>
      </c>
      <c r="N33" s="5">
        <f>INDEX(Estimates!H:H,MATCH(Rebate_Lookup[[#This Row],[SKU CODE]],Estimates!A:A,0))</f>
        <v>0</v>
      </c>
      <c r="O33"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33" s="5">
        <f>COUNTIF(Estimates!A:A,Rebate_Lookup[[#This Row],[SKU CODE]])</f>
        <v>1</v>
      </c>
      <c r="Q33" s="6" t="b">
        <f>IFERROR(Rebate_Lookup[[#This Row],[Order Form Quantity]]&gt;=Rebate_Lookup[[#This Row],[MOQ_2]],0)</f>
        <v>0</v>
      </c>
    </row>
    <row r="34" spans="1:17" x14ac:dyDescent="0.2">
      <c r="A34" s="168">
        <v>11008557</v>
      </c>
      <c r="B34" s="5" t="str">
        <f>INDEX(PRICING[Agency/TT],MATCH(Rebate_Lookup[[#This Row],[SKU CODE]],PRICING[SKU],0))</f>
        <v>A</v>
      </c>
      <c r="C34" s="5" t="str">
        <f>INDEX(PRICING[Product],MATCH(Rebate_Lookup[[#This Row],[SKU CODE]],PRICING[SKU],0))</f>
        <v>Fame® SC Fungicide</v>
      </c>
      <c r="D34" s="5" t="str">
        <f>INDEX(PRICING[Size],MATCH(Rebate_Lookup[[#This Row],[SKU CODE]],PRICING[SKU],0))</f>
        <v>64 oz</v>
      </c>
      <c r="E34" s="5" cm="1">
        <f t="array" ref="E34">SUM(COUNTIFS(
    PRICING[Program],{"EOP/ORN","ORN","EOP","NOW","LL/NOW","LL/SLP/NOW","LL/SLP/EOP"},
    PRICING[SKU],A34
))</f>
        <v>2</v>
      </c>
      <c r="F34" s="5" cm="1">
        <f t="array" ref="F34">IFERROR(
MIN(
_xlfn._xlws.FILTER(
--_xlfn.TEXTBEFORE(
SUBSTITUTE(
SUBSTITUTE(PRICING[Min Qty],"+"," "),
"-"," "
),
" "
),
(PRICING[SKU]=$A34)*
(PRICING[Set]=1)*
(PRICING[Rebate $]&lt;&gt;0)*
(PRICING[Rebate $]&lt;&gt;"")
)
),
0
)</f>
        <v>0</v>
      </c>
      <c r="G34" s="5" cm="1">
        <f t="array" ref="G34">IFERROR(
MIN(
_xlfn._xlws.FILTER(
--_xlfn.TEXTBEFORE(
SUBSTITUTE(
SUBSTITUTE(PRICING[Min Qty],"+"," "),
"-"," "
),
" "
),
(PRICING[SKU]=$A34)*
(PRICING[Set]=2)*
(PRICING[Rebate $]&lt;&gt;0)*
(PRICING[Rebate $]&lt;&gt;"")
)
),
0
)</f>
        <v>4</v>
      </c>
      <c r="H34" s="5" cm="1">
        <f t="array" ref="H34">IFERROR(
MIN(
_xlfn._xlws.FILTER(
--_xlfn.TEXTBEFORE(
SUBSTITUTE(
SUBSTITUTE(PRICING[Min Qty],"+"," "),
"-"," "
),
" "
),
(PRICING[SKU]=$A34)*
(PRICING[Set]=3)*
(PRICING[Rebate $]&lt;&gt;0)*
(PRICING[Rebate $]&lt;&gt;"")
)
),
0
)</f>
        <v>0</v>
      </c>
      <c r="I34" s="5" cm="1">
        <f t="array" ref="I34">IFERROR(
MIN(
_xlfn._xlws.FILTER(
--_xlfn.TEXTBEFORE(
SUBSTITUTE(
SUBSTITUTE(PRICING[Min Qty],"+"," "),
"-"," "
),
" "
),
(PRICING[SKU]=$A34)*
(PRICING[Set]=4)*
(PRICING[Rebate $]&lt;&gt;0)*
(PRICING[Rebate $]&lt;&gt;"")
)
),
0
)</f>
        <v>0</v>
      </c>
      <c r="J34" s="5" cm="1">
        <f t="array" ref="J34">SUM(
    SUMIFS(
        PRICING[Rebate $],
        PRICING[Program],
        {"EOP/ORN","ORN","EOP","NOW","LL/NOW","LL/SLP/NOW","LL/SLP/EOP"},
        PRICING[SKU],
        Rebate_Lookup[[#This Row],[SKU CODE]],
        PRICING[Set],
        1
    )
)</f>
        <v>0</v>
      </c>
      <c r="K34" s="5" cm="1">
        <f t="array" ref="K34">SUM(
    SUMIFS(
        PRICING[Rebate $],
        PRICING[Program],
        {"EOP/ORN","ORN","EOP","NOW","LL/NOW","LL/SLP/NOW","LL/SLP/EOP"},
        PRICING[SKU],
        Rebate_Lookup[[#This Row],[SKU CODE]],
        PRICING[Set],
        2
    )
)</f>
        <v>395</v>
      </c>
      <c r="L34" s="5" cm="1">
        <f t="array" ref="L34">SUM(
    SUMIFS(
        PRICING[Rebate $],
        PRICING[Program],
        {"EOP/ORN","ORN","EOP","NOW","LL/NOW","LL/SLP/NOW","LL/SLP/EOP"},
        PRICING[SKU],
        Rebate_Lookup[[#This Row],[SKU CODE]],
        PRICING[Set],
        3
    )
)</f>
        <v>0</v>
      </c>
      <c r="M34" s="5" cm="1">
        <f t="array" ref="M34">SUM(
    SUMIFS(
        PRICING[Rebate $],
        PRICING[Program],
        {"EOP/ORN","ORN","EOP","NOW","LL/NOW","LL/SLP/NOW","LL/SLP/EOP"},
        PRICING[SKU],
        Rebate_Lookup[[#This Row],[SKU CODE]],
        PRICING[Set],
        4
    )
)</f>
        <v>0</v>
      </c>
      <c r="N34" s="5">
        <f>INDEX(Estimates!H:H,MATCH(Rebate_Lookup[[#This Row],[SKU CODE]],Estimates!A:A,0))</f>
        <v>0</v>
      </c>
      <c r="O34"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34" s="5">
        <f>COUNTIF(Estimates!A:A,Rebate_Lookup[[#This Row],[SKU CODE]])</f>
        <v>1</v>
      </c>
      <c r="Q34" s="6" t="b">
        <f>IFERROR(Rebate_Lookup[[#This Row],[Order Form Quantity]]&gt;=Rebate_Lookup[[#This Row],[MOQ_2]],0)</f>
        <v>0</v>
      </c>
    </row>
    <row r="35" spans="1:17" x14ac:dyDescent="0.2">
      <c r="A35" s="168">
        <v>11009500</v>
      </c>
      <c r="B35" s="5" t="str">
        <f>INDEX(PRICING[Agency/TT],MATCH(Rebate_Lookup[[#This Row],[SKU CODE]],PRICING[SKU],0))</f>
        <v>A</v>
      </c>
      <c r="C35" s="5" t="str">
        <f>INDEX(PRICING[Product],MATCH(Rebate_Lookup[[#This Row],[SKU CODE]],PRICING[SKU],0))</f>
        <v>Fame® SC Fungicide</v>
      </c>
      <c r="D35" s="5" t="str">
        <f>INDEX(PRICING[Size],MATCH(Rebate_Lookup[[#This Row],[SKU CODE]],PRICING[SKU],0))</f>
        <v>2.5 gal</v>
      </c>
      <c r="E35" s="5" cm="1">
        <f t="array" ref="E35">SUM(COUNTIFS(
    PRICING[Program],{"EOP/ORN","ORN","EOP","NOW","LL/NOW","LL/SLP/NOW","LL/SLP/EOP"},
    PRICING[SKU],A35
))</f>
        <v>2</v>
      </c>
      <c r="F35" s="5" cm="1">
        <f t="array" ref="F35">IFERROR(
MIN(
_xlfn._xlws.FILTER(
--_xlfn.TEXTBEFORE(
SUBSTITUTE(
SUBSTITUTE(PRICING[Min Qty],"+"," "),
"-"," "
),
" "
),
(PRICING[SKU]=$A35)*
(PRICING[Set]=1)*
(PRICING[Rebate $]&lt;&gt;0)*
(PRICING[Rebate $]&lt;&gt;"")
)
),
0
)</f>
        <v>1</v>
      </c>
      <c r="G35" s="5" cm="1">
        <f t="array" ref="G35">IFERROR(
MIN(
_xlfn._xlws.FILTER(
--_xlfn.TEXTBEFORE(
SUBSTITUTE(
SUBSTITUTE(PRICING[Min Qty],"+"," "),
"-"," "
),
" "
),
(PRICING[SKU]=$A35)*
(PRICING[Set]=2)*
(PRICING[Rebate $]&lt;&gt;0)*
(PRICING[Rebate $]&lt;&gt;"")
)
),
0
)</f>
        <v>4</v>
      </c>
      <c r="H35" s="5" cm="1">
        <f t="array" ref="H35">IFERROR(
MIN(
_xlfn._xlws.FILTER(
--_xlfn.TEXTBEFORE(
SUBSTITUTE(
SUBSTITUTE(PRICING[Min Qty],"+"," "),
"-"," "
),
" "
),
(PRICING[SKU]=$A35)*
(PRICING[Set]=3)*
(PRICING[Rebate $]&lt;&gt;0)*
(PRICING[Rebate $]&lt;&gt;"")
)
),
0
)</f>
        <v>0</v>
      </c>
      <c r="I35" s="5" cm="1">
        <f t="array" ref="I35">IFERROR(
MIN(
_xlfn._xlws.FILTER(
--_xlfn.TEXTBEFORE(
SUBSTITUTE(
SUBSTITUTE(PRICING[Min Qty],"+"," "),
"-"," "
),
" "
),
(PRICING[SKU]=$A35)*
(PRICING[Set]=4)*
(PRICING[Rebate $]&lt;&gt;0)*
(PRICING[Rebate $]&lt;&gt;"")
)
),
0
)</f>
        <v>0</v>
      </c>
      <c r="J35" s="5" cm="1">
        <f t="array" ref="J35">SUM(
    SUMIFS(
        PRICING[Rebate $],
        PRICING[Program],
        {"EOP/ORN","ORN","EOP","NOW","LL/NOW","LL/SLP/NOW","LL/SLP/EOP"},
        PRICING[SKU],
        Rebate_Lookup[[#This Row],[SKU CODE]],
        PRICING[Set],
        1
    )
)</f>
        <v>1290</v>
      </c>
      <c r="K35" s="5" cm="1">
        <f t="array" ref="K35">SUM(
    SUMIFS(
        PRICING[Rebate $],
        PRICING[Program],
        {"EOP/ORN","ORN","EOP","NOW","LL/NOW","LL/SLP/NOW","LL/SLP/EOP"},
        PRICING[SKU],
        Rebate_Lookup[[#This Row],[SKU CODE]],
        PRICING[Set],
        2
    )
)</f>
        <v>1390</v>
      </c>
      <c r="L35" s="5" cm="1">
        <f t="array" ref="L35">SUM(
    SUMIFS(
        PRICING[Rebate $],
        PRICING[Program],
        {"EOP/ORN","ORN","EOP","NOW","LL/NOW","LL/SLP/NOW","LL/SLP/EOP"},
        PRICING[SKU],
        Rebate_Lookup[[#This Row],[SKU CODE]],
        PRICING[Set],
        3
    )
)</f>
        <v>0</v>
      </c>
      <c r="M35" s="5" cm="1">
        <f t="array" ref="M35">SUM(
    SUMIFS(
        PRICING[Rebate $],
        PRICING[Program],
        {"EOP/ORN","ORN","EOP","NOW","LL/NOW","LL/SLP/NOW","LL/SLP/EOP"},
        PRICING[SKU],
        Rebate_Lookup[[#This Row],[SKU CODE]],
        PRICING[Set],
        4
    )
)</f>
        <v>0</v>
      </c>
      <c r="N35" s="5">
        <f>INDEX(Estimates!H:H,MATCH(Rebate_Lookup[[#This Row],[SKU CODE]],Estimates!A:A,0))</f>
        <v>0</v>
      </c>
      <c r="O35" s="5"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35" s="5">
        <f>COUNTIF(Estimates!A:A,Rebate_Lookup[[#This Row],[SKU CODE]])</f>
        <v>1</v>
      </c>
      <c r="Q35" s="6" t="b">
        <f>IFERROR(Rebate_Lookup[[#This Row],[Order Form Quantity]]&gt;=Rebate_Lookup[[#This Row],[MOQ_2]],0)</f>
        <v>0</v>
      </c>
    </row>
    <row r="36" spans="1:17" x14ac:dyDescent="0.2">
      <c r="A36" s="168" t="s">
        <v>59</v>
      </c>
      <c r="B36" s="5" t="str">
        <f>INDEX(PRICING[Agency/TT],MATCH(Rebate_Lookup[[#This Row],[SKU CODE]],PRICING[SKU],0))</f>
        <v>A</v>
      </c>
      <c r="C36" s="5" t="str">
        <f>INDEX(PRICING[Product],MATCH(Rebate_Lookup[[#This Row],[SKU CODE]],PRICING[SKU],0))</f>
        <v>Fiata® Stressgard®</v>
      </c>
      <c r="D36" s="5" t="str">
        <f>INDEX(PRICING[Size],MATCH(Rebate_Lookup[[#This Row],[SKU CODE]],PRICING[SKU],0))</f>
        <v> 2.5 gal</v>
      </c>
      <c r="E36" s="5" cm="1">
        <f t="array" ref="E36">SUM(COUNTIFS(
    PRICING[Program],{"EOP/ORN","ORN","EOP","NOW","LL/NOW","LL/SLP/NOW","LL/SLP/EOP"},
    PRICING[SKU],A36
))</f>
        <v>2</v>
      </c>
      <c r="F36" s="5" cm="1">
        <f t="array" ref="F36">IFERROR(
MIN(
_xlfn._xlws.FILTER(
--_xlfn.TEXTBEFORE(
SUBSTITUTE(
SUBSTITUTE(PRICING[Min Qty],"+"," "),
"-"," "
),
" "
),
(PRICING[SKU]=$A36)*
(PRICING[Set]=1)*
(PRICING[Rebate $]&lt;&gt;0)*
(PRICING[Rebate $]&lt;&gt;"")
)
),
0
)</f>
        <v>0</v>
      </c>
      <c r="G36" s="5" cm="1">
        <f t="array" ref="G36">IFERROR(
MIN(
_xlfn._xlws.FILTER(
--_xlfn.TEXTBEFORE(
SUBSTITUTE(
SUBSTITUTE(PRICING[Min Qty],"+"," "),
"-"," "
),
" "
),
(PRICING[SKU]=$A36)*
(PRICING[Set]=2)*
(PRICING[Rebate $]&lt;&gt;0)*
(PRICING[Rebate $]&lt;&gt;"")
)
),
0
)</f>
        <v>16</v>
      </c>
      <c r="H36" s="5" cm="1">
        <f t="array" ref="H36">IFERROR(
MIN(
_xlfn._xlws.FILTER(
--_xlfn.TEXTBEFORE(
SUBSTITUTE(
SUBSTITUTE(PRICING[Min Qty],"+"," "),
"-"," "
),
" "
),
(PRICING[SKU]=$A36)*
(PRICING[Set]=3)*
(PRICING[Rebate $]&lt;&gt;0)*
(PRICING[Rebate $]&lt;&gt;"")
)
),
0
)</f>
        <v>0</v>
      </c>
      <c r="I36" s="5" cm="1">
        <f t="array" ref="I36">IFERROR(
MIN(
_xlfn._xlws.FILTER(
--_xlfn.TEXTBEFORE(
SUBSTITUTE(
SUBSTITUTE(PRICING[Min Qty],"+"," "),
"-"," "
),
" "
),
(PRICING[SKU]=$A36)*
(PRICING[Set]=4)*
(PRICING[Rebate $]&lt;&gt;0)*
(PRICING[Rebate $]&lt;&gt;"")
)
),
0
)</f>
        <v>0</v>
      </c>
      <c r="J36" s="5" cm="1">
        <f t="array" ref="J36">SUM(
    SUMIFS(
        PRICING[Rebate $],
        PRICING[Program],
        {"EOP/ORN","ORN","EOP","NOW","LL/NOW","LL/SLP/NOW","LL/SLP/EOP"},
        PRICING[SKU],
        Rebate_Lookup[[#This Row],[SKU CODE]],
        PRICING[Set],
        1
    )
)</f>
        <v>0</v>
      </c>
      <c r="K36" s="5" cm="1">
        <f t="array" ref="K36">SUM(
    SUMIFS(
        PRICING[Rebate $],
        PRICING[Program],
        {"EOP/ORN","ORN","EOP","NOW","LL/NOW","LL/SLP/NOW","LL/SLP/EOP"},
        PRICING[SKU],
        Rebate_Lookup[[#This Row],[SKU CODE]],
        PRICING[Set],
        2
    )
)</f>
        <v>10</v>
      </c>
      <c r="L36" s="5" cm="1">
        <f t="array" ref="L36">SUM(
    SUMIFS(
        PRICING[Rebate $],
        PRICING[Program],
        {"EOP/ORN","ORN","EOP","NOW","LL/NOW","LL/SLP/NOW","LL/SLP/EOP"},
        PRICING[SKU],
        Rebate_Lookup[[#This Row],[SKU CODE]],
        PRICING[Set],
        3
    )
)</f>
        <v>0</v>
      </c>
      <c r="M36" s="5" cm="1">
        <f t="array" ref="M36">SUM(
    SUMIFS(
        PRICING[Rebate $],
        PRICING[Program],
        {"EOP/ORN","ORN","EOP","NOW","LL/NOW","LL/SLP/NOW","LL/SLP/EOP"},
        PRICING[SKU],
        Rebate_Lookup[[#This Row],[SKU CODE]],
        PRICING[Set],
        4
    )
)</f>
        <v>0</v>
      </c>
      <c r="N36" s="5">
        <f>INDEX(Estimates!H:H,MATCH(Rebate_Lookup[[#This Row],[SKU CODE]],Estimates!A:A,0))</f>
        <v>0</v>
      </c>
      <c r="O36"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36" s="5">
        <f>COUNTIF(Estimates!A:A,Rebate_Lookup[[#This Row],[SKU CODE]])</f>
        <v>1</v>
      </c>
      <c r="Q36" s="6" t="b">
        <f>IFERROR(Rebate_Lookup[[#This Row],[Order Form Quantity]]&gt;=Rebate_Lookup[[#This Row],[MOQ_2]],0)</f>
        <v>0</v>
      </c>
    </row>
    <row r="37" spans="1:17" x14ac:dyDescent="0.2">
      <c r="A37" s="168" t="s">
        <v>60</v>
      </c>
      <c r="B37" s="5" t="str">
        <f>INDEX(PRICING[Agency/TT],MATCH(Rebate_Lookup[[#This Row],[SKU CODE]],PRICING[SKU],0))</f>
        <v>A</v>
      </c>
      <c r="C37" s="5" t="str">
        <f>INDEX(PRICING[Product],MATCH(Rebate_Lookup[[#This Row],[SKU CODE]],PRICING[SKU],0))</f>
        <v>Indemnify®</v>
      </c>
      <c r="D37" s="5" t="str">
        <f>INDEX(PRICING[Size],MATCH(Rebate_Lookup[[#This Row],[SKU CODE]],PRICING[SKU],0))</f>
        <v>17.1 fl oz</v>
      </c>
      <c r="E37" s="5" cm="1">
        <f t="array" ref="E37">SUM(COUNTIFS(
    PRICING[Program],{"EOP/ORN","ORN","EOP","NOW","LL/NOW","LL/SLP/NOW","LL/SLP/EOP"},
    PRICING[SKU],A37
))</f>
        <v>3</v>
      </c>
      <c r="F37" s="5" cm="1">
        <f t="array" ref="F37">IFERROR(
MIN(
_xlfn._xlws.FILTER(
--_xlfn.TEXTBEFORE(
SUBSTITUTE(
SUBSTITUTE(PRICING[Min Qty],"+"," "),
"-"," "
),
" "
),
(PRICING[SKU]=$A37)*
(PRICING[Set]=1)*
(PRICING[Rebate $]&lt;&gt;0)*
(PRICING[Rebate $]&lt;&gt;"")
)
),
0
)</f>
        <v>0</v>
      </c>
      <c r="G37" s="5" cm="1">
        <f t="array" ref="G37">IFERROR(
MIN(
_xlfn._xlws.FILTER(
--_xlfn.TEXTBEFORE(
SUBSTITUTE(
SUBSTITUTE(PRICING[Min Qty],"+"," "),
"-"," "
),
" "
),
(PRICING[SKU]=$A37)*
(PRICING[Set]=2)*
(PRICING[Rebate $]&lt;&gt;0)*
(PRICING[Rebate $]&lt;&gt;"")
)
),
0
)</f>
        <v>3</v>
      </c>
      <c r="H37" s="5" cm="1">
        <f t="array" ref="H37">IFERROR(
MIN(
_xlfn._xlws.FILTER(
--_xlfn.TEXTBEFORE(
SUBSTITUTE(
SUBSTITUTE(PRICING[Min Qty],"+"," "),
"-"," "
),
" "
),
(PRICING[SKU]=$A37)*
(PRICING[Set]=3)*
(PRICING[Rebate $]&lt;&gt;0)*
(PRICING[Rebate $]&lt;&gt;"")
)
),
0
)</f>
        <v>6</v>
      </c>
      <c r="I37" s="5" cm="1">
        <f t="array" ref="I37">IFERROR(
MIN(
_xlfn._xlws.FILTER(
--_xlfn.TEXTBEFORE(
SUBSTITUTE(
SUBSTITUTE(PRICING[Min Qty],"+"," "),
"-"," "
),
" "
),
(PRICING[SKU]=$A37)*
(PRICING[Set]=4)*
(PRICING[Rebate $]&lt;&gt;0)*
(PRICING[Rebate $]&lt;&gt;"")
)
),
0
)</f>
        <v>0</v>
      </c>
      <c r="J37" s="5" cm="1">
        <f t="array" ref="J37">SUM(
    SUMIFS(
        PRICING[Rebate $],
        PRICING[Program],
        {"EOP/ORN","ORN","EOP","NOW","LL/NOW","LL/SLP/NOW","LL/SLP/EOP"},
        PRICING[SKU],
        Rebate_Lookup[[#This Row],[SKU CODE]],
        PRICING[Set],
        1
    )
)</f>
        <v>0</v>
      </c>
      <c r="K37" s="5" cm="1">
        <f t="array" ref="K37">SUM(
    SUMIFS(
        PRICING[Rebate $],
        PRICING[Program],
        {"EOP/ORN","ORN","EOP","NOW","LL/NOW","LL/SLP/NOW","LL/SLP/EOP"},
        PRICING[SKU],
        Rebate_Lookup[[#This Row],[SKU CODE]],
        PRICING[Set],
        2
    )
)</f>
        <v>300</v>
      </c>
      <c r="L37" s="5" cm="1">
        <f t="array" ref="L37">SUM(
    SUMIFS(
        PRICING[Rebate $],
        PRICING[Program],
        {"EOP/ORN","ORN","EOP","NOW","LL/NOW","LL/SLP/NOW","LL/SLP/EOP"},
        PRICING[SKU],
        Rebate_Lookup[[#This Row],[SKU CODE]],
        PRICING[Set],
        3
    )
)</f>
        <v>450</v>
      </c>
      <c r="M37" s="5" cm="1">
        <f t="array" ref="M37">SUM(
    SUMIFS(
        PRICING[Rebate $],
        PRICING[Program],
        {"EOP/ORN","ORN","EOP","NOW","LL/NOW","LL/SLP/NOW","LL/SLP/EOP"},
        PRICING[SKU],
        Rebate_Lookup[[#This Row],[SKU CODE]],
        PRICING[Set],
        4
    )
)</f>
        <v>0</v>
      </c>
      <c r="N37" s="5">
        <f>INDEX(Estimates!H:H,MATCH(Rebate_Lookup[[#This Row],[SKU CODE]],Estimates!A:A,0))</f>
        <v>0</v>
      </c>
      <c r="O37"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37" s="5">
        <f>COUNTIF(Estimates!A:A,Rebate_Lookup[[#This Row],[SKU CODE]])</f>
        <v>1</v>
      </c>
      <c r="Q37" s="6" t="b">
        <f>IFERROR(Rebate_Lookup[[#This Row],[Order Form Quantity]]&gt;=Rebate_Lookup[[#This Row],[MOQ_2]],0)</f>
        <v>0</v>
      </c>
    </row>
    <row r="38" spans="1:17" x14ac:dyDescent="0.2">
      <c r="A38" s="168">
        <v>81701245</v>
      </c>
      <c r="B38" s="5" t="str">
        <f>INDEX(PRICING[Agency/TT],MATCH(Rebate_Lookup[[#This Row],[SKU CODE]],PRICING[SKU],0))</f>
        <v>A</v>
      </c>
      <c r="C38" s="5" t="str">
        <f>INDEX(PRICING[Product],MATCH(Rebate_Lookup[[#This Row],[SKU CODE]],PRICING[SKU],0))</f>
        <v>Interface® Stressgard®</v>
      </c>
      <c r="D38" s="5" t="str">
        <f>INDEX(PRICING[Size],MATCH(Rebate_Lookup[[#This Row],[SKU CODE]],PRICING[SKU],0))</f>
        <v>2.5 gal</v>
      </c>
      <c r="E38" s="5" cm="1">
        <f t="array" ref="E38">SUM(COUNTIFS(
    PRICING[Program],{"EOP/ORN","ORN","EOP","NOW","LL/NOW","LL/SLP/NOW","LL/SLP/EOP"},
    PRICING[SKU],A38
))</f>
        <v>2</v>
      </c>
      <c r="F38" s="5" cm="1">
        <f t="array" ref="F38">IFERROR(
MIN(
_xlfn._xlws.FILTER(
--_xlfn.TEXTBEFORE(
SUBSTITUTE(
SUBSTITUTE(PRICING[Min Qty],"+"," "),
"-"," "
),
" "
),
(PRICING[SKU]=$A38)*
(PRICING[Set]=1)*
(PRICING[Rebate $]&lt;&gt;0)*
(PRICING[Rebate $]&lt;&gt;"")
)
),
0
)</f>
        <v>0</v>
      </c>
      <c r="G38" s="5" cm="1">
        <f t="array" ref="G38">IFERROR(
MIN(
_xlfn._xlws.FILTER(
--_xlfn.TEXTBEFORE(
SUBSTITUTE(
SUBSTITUTE(PRICING[Min Qty],"+"," "),
"-"," "
),
" "
),
(PRICING[SKU]=$A38)*
(PRICING[Set]=2)*
(PRICING[Rebate $]&lt;&gt;0)*
(PRICING[Rebate $]&lt;&gt;"")
)
),
0
)</f>
        <v>6</v>
      </c>
      <c r="H38" s="5" cm="1">
        <f t="array" ref="H38">IFERROR(
MIN(
_xlfn._xlws.FILTER(
--_xlfn.TEXTBEFORE(
SUBSTITUTE(
SUBSTITUTE(PRICING[Min Qty],"+"," "),
"-"," "
),
" "
),
(PRICING[SKU]=$A38)*
(PRICING[Set]=3)*
(PRICING[Rebate $]&lt;&gt;0)*
(PRICING[Rebate $]&lt;&gt;"")
)
),
0
)</f>
        <v>0</v>
      </c>
      <c r="I38" s="5" cm="1">
        <f t="array" ref="I38">IFERROR(
MIN(
_xlfn._xlws.FILTER(
--_xlfn.TEXTBEFORE(
SUBSTITUTE(
SUBSTITUTE(PRICING[Min Qty],"+"," "),
"-"," "
),
" "
),
(PRICING[SKU]=$A38)*
(PRICING[Set]=4)*
(PRICING[Rebate $]&lt;&gt;0)*
(PRICING[Rebate $]&lt;&gt;"")
)
),
0
)</f>
        <v>0</v>
      </c>
      <c r="J38" s="5" cm="1">
        <f t="array" ref="J38">SUM(
    SUMIFS(
        PRICING[Rebate $],
        PRICING[Program],
        {"EOP/ORN","ORN","EOP","NOW","LL/NOW","LL/SLP/NOW","LL/SLP/EOP"},
        PRICING[SKU],
        Rebate_Lookup[[#This Row],[SKU CODE]],
        PRICING[Set],
        1
    )
)</f>
        <v>0</v>
      </c>
      <c r="K38" s="5" cm="1">
        <f t="array" ref="K38">SUM(
    SUMIFS(
        PRICING[Rebate $],
        PRICING[Program],
        {"EOP/ORN","ORN","EOP","NOW","LL/NOW","LL/SLP/NOW","LL/SLP/EOP"},
        PRICING[SKU],
        Rebate_Lookup[[#This Row],[SKU CODE]],
        PRICING[Set],
        2
    )
)</f>
        <v>75</v>
      </c>
      <c r="L38" s="5" cm="1">
        <f t="array" ref="L38">SUM(
    SUMIFS(
        PRICING[Rebate $],
        PRICING[Program],
        {"EOP/ORN","ORN","EOP","NOW","LL/NOW","LL/SLP/NOW","LL/SLP/EOP"},
        PRICING[SKU],
        Rebate_Lookup[[#This Row],[SKU CODE]],
        PRICING[Set],
        3
    )
)</f>
        <v>0</v>
      </c>
      <c r="M38" s="5" cm="1">
        <f t="array" ref="M38">SUM(
    SUMIFS(
        PRICING[Rebate $],
        PRICING[Program],
        {"EOP/ORN","ORN","EOP","NOW","LL/NOW","LL/SLP/NOW","LL/SLP/EOP"},
        PRICING[SKU],
        Rebate_Lookup[[#This Row],[SKU CODE]],
        PRICING[Set],
        4
    )
)</f>
        <v>0</v>
      </c>
      <c r="N38" s="5">
        <f>INDEX(Estimates!H:H,MATCH(Rebate_Lookup[[#This Row],[SKU CODE]],Estimates!A:A,0))</f>
        <v>0</v>
      </c>
      <c r="O38"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38" s="5">
        <f>COUNTIF(Estimates!A:A,Rebate_Lookup[[#This Row],[SKU CODE]])</f>
        <v>1</v>
      </c>
      <c r="Q38" s="6" t="b">
        <f>IFERROR(Rebate_Lookup[[#This Row],[Order Form Quantity]]&gt;=Rebate_Lookup[[#This Row],[MOQ_2]],0)</f>
        <v>0</v>
      </c>
    </row>
    <row r="39" spans="1:17" x14ac:dyDescent="0.2">
      <c r="A39" s="168">
        <v>11013671</v>
      </c>
      <c r="B39" s="5" t="str">
        <f>INDEX(PRICING[Agency/TT],MATCH(Rebate_Lookup[[#This Row],[SKU CODE]],PRICING[SKU],0))</f>
        <v>A</v>
      </c>
      <c r="C39" s="5" t="str">
        <f>INDEX(PRICING[Product],MATCH(Rebate_Lookup[[#This Row],[SKU CODE]],PRICING[SKU],0))</f>
        <v xml:space="preserve">Kalida® Fungicide </v>
      </c>
      <c r="D39" s="5" t="str">
        <f>INDEX(PRICING[Size],MATCH(Rebate_Lookup[[#This Row],[SKU CODE]],PRICING[SKU],0))</f>
        <v>64 oz</v>
      </c>
      <c r="E39" s="5" cm="1">
        <f t="array" ref="E39">SUM(COUNTIFS(
    PRICING[Program],{"EOP/ORN","ORN","EOP","NOW","LL/NOW","LL/SLP/NOW","LL/SLP/EOP"},
    PRICING[SKU],A39
))</f>
        <v>2</v>
      </c>
      <c r="F39" s="5" cm="1">
        <f t="array" ref="F39">IFERROR(
MIN(
_xlfn._xlws.FILTER(
--_xlfn.TEXTBEFORE(
SUBSTITUTE(
SUBSTITUTE(PRICING[Min Qty],"+"," "),
"-"," "
),
" "
),
(PRICING[SKU]=$A39)*
(PRICING[Set]=1)*
(PRICING[Rebate $]&lt;&gt;0)*
(PRICING[Rebate $]&lt;&gt;"")
)
),
0
)</f>
        <v>0</v>
      </c>
      <c r="G39" s="5" cm="1">
        <f t="array" ref="G39">IFERROR(
MIN(
_xlfn._xlws.FILTER(
--_xlfn.TEXTBEFORE(
SUBSTITUTE(
SUBSTITUTE(PRICING[Min Qty],"+"," "),
"-"," "
),
" "
),
(PRICING[SKU]=$A39)*
(PRICING[Set]=2)*
(PRICING[Rebate $]&lt;&gt;0)*
(PRICING[Rebate $]&lt;&gt;"")
)
),
0
)</f>
        <v>4</v>
      </c>
      <c r="H39" s="5" cm="1">
        <f t="array" ref="H39">IFERROR(
MIN(
_xlfn._xlws.FILTER(
--_xlfn.TEXTBEFORE(
SUBSTITUTE(
SUBSTITUTE(PRICING[Min Qty],"+"," "),
"-"," "
),
" "
),
(PRICING[SKU]=$A39)*
(PRICING[Set]=3)*
(PRICING[Rebate $]&lt;&gt;0)*
(PRICING[Rebate $]&lt;&gt;"")
)
),
0
)</f>
        <v>0</v>
      </c>
      <c r="I39" s="5" cm="1">
        <f t="array" ref="I39">IFERROR(
MIN(
_xlfn._xlws.FILTER(
--_xlfn.TEXTBEFORE(
SUBSTITUTE(
SUBSTITUTE(PRICING[Min Qty],"+"," "),
"-"," "
),
" "
),
(PRICING[SKU]=$A39)*
(PRICING[Set]=4)*
(PRICING[Rebate $]&lt;&gt;0)*
(PRICING[Rebate $]&lt;&gt;"")
)
),
0
)</f>
        <v>0</v>
      </c>
      <c r="J39" s="5" cm="1">
        <f t="array" ref="J39">SUM(
    SUMIFS(
        PRICING[Rebate $],
        PRICING[Program],
        {"EOP/ORN","ORN","EOP","NOW","LL/NOW","LL/SLP/NOW","LL/SLP/EOP"},
        PRICING[SKU],
        Rebate_Lookup[[#This Row],[SKU CODE]],
        PRICING[Set],
        1
    )
)</f>
        <v>0</v>
      </c>
      <c r="K39" s="5" cm="1">
        <f t="array" ref="K39">SUM(
    SUMIFS(
        PRICING[Rebate $],
        PRICING[Program],
        {"EOP/ORN","ORN","EOP","NOW","LL/NOW","LL/SLP/NOW","LL/SLP/EOP"},
        PRICING[SKU],
        Rebate_Lookup[[#This Row],[SKU CODE]],
        PRICING[Set],
        2
    )
)</f>
        <v>325</v>
      </c>
      <c r="L39" s="5" cm="1">
        <f t="array" ref="L39">SUM(
    SUMIFS(
        PRICING[Rebate $],
        PRICING[Program],
        {"EOP/ORN","ORN","EOP","NOW","LL/NOW","LL/SLP/NOW","LL/SLP/EOP"},
        PRICING[SKU],
        Rebate_Lookup[[#This Row],[SKU CODE]],
        PRICING[Set],
        3
    )
)</f>
        <v>0</v>
      </c>
      <c r="M39" s="5" cm="1">
        <f t="array" ref="M39">SUM(
    SUMIFS(
        PRICING[Rebate $],
        PRICING[Program],
        {"EOP/ORN","ORN","EOP","NOW","LL/NOW","LL/SLP/NOW","LL/SLP/EOP"},
        PRICING[SKU],
        Rebate_Lookup[[#This Row],[SKU CODE]],
        PRICING[Set],
        4
    )
)</f>
        <v>0</v>
      </c>
      <c r="N39" s="5">
        <f>INDEX(Estimates!H:H,MATCH(Rebate_Lookup[[#This Row],[SKU CODE]],Estimates!A:A,0))</f>
        <v>0</v>
      </c>
      <c r="O39"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39" s="5">
        <f>COUNTIF(Estimates!A:A,Rebate_Lookup[[#This Row],[SKU CODE]])</f>
        <v>1</v>
      </c>
      <c r="Q39" s="6" t="b">
        <f>IFERROR(Rebate_Lookup[[#This Row],[Order Form Quantity]]&gt;=Rebate_Lookup[[#This Row],[MOQ_2]],0)</f>
        <v>0</v>
      </c>
    </row>
    <row r="40" spans="1:17" x14ac:dyDescent="0.2">
      <c r="A40" s="168" t="s">
        <v>61</v>
      </c>
      <c r="B40" s="5" t="str">
        <f>INDEX(PRICING[Agency/TT],MATCH(Rebate_Lookup[[#This Row],[SKU CODE]],PRICING[SKU],0))</f>
        <v>A</v>
      </c>
      <c r="C40" s="5" t="str">
        <f>INDEX(PRICING[Product],MATCH(Rebate_Lookup[[#This Row],[SKU CODE]],PRICING[SKU],0))</f>
        <v>Kontos®</v>
      </c>
      <c r="D40" s="5" t="str">
        <f>INDEX(PRICING[Size],MATCH(Rebate_Lookup[[#This Row],[SKU CODE]],PRICING[SKU],0))</f>
        <v>250 ml</v>
      </c>
      <c r="E40" s="5" cm="1">
        <f t="array" ref="E40">SUM(COUNTIFS(
    PRICING[Program],{"EOP/ORN","ORN","EOP","NOW","LL/NOW","LL/SLP/NOW","LL/SLP/EOP"},
    PRICING[SKU],A40
))</f>
        <v>1</v>
      </c>
      <c r="F40" s="5" cm="1">
        <f t="array" ref="F40">IFERROR(
MIN(
_xlfn._xlws.FILTER(
--_xlfn.TEXTBEFORE(
SUBSTITUTE(
SUBSTITUTE(PRICING[Min Qty],"+"," "),
"-"," "
),
" "
),
(PRICING[SKU]=$A40)*
(PRICING[Set]=1)*
(PRICING[Rebate $]&lt;&gt;0)*
(PRICING[Rebate $]&lt;&gt;"")
)
),
0
)</f>
        <v>0</v>
      </c>
      <c r="G40" s="5" cm="1">
        <f t="array" ref="G40">IFERROR(
MIN(
_xlfn._xlws.FILTER(
--_xlfn.TEXTBEFORE(
SUBSTITUTE(
SUBSTITUTE(PRICING[Min Qty],"+"," "),
"-"," "
),
" "
),
(PRICING[SKU]=$A40)*
(PRICING[Set]=2)*
(PRICING[Rebate $]&lt;&gt;0)*
(PRICING[Rebate $]&lt;&gt;"")
)
),
0
)</f>
        <v>0</v>
      </c>
      <c r="H40" s="5" cm="1">
        <f t="array" ref="H40">IFERROR(
MIN(
_xlfn._xlws.FILTER(
--_xlfn.TEXTBEFORE(
SUBSTITUTE(
SUBSTITUTE(PRICING[Min Qty],"+"," "),
"-"," "
),
" "
),
(PRICING[SKU]=$A40)*
(PRICING[Set]=3)*
(PRICING[Rebate $]&lt;&gt;0)*
(PRICING[Rebate $]&lt;&gt;"")
)
),
0
)</f>
        <v>0</v>
      </c>
      <c r="I40" s="5" cm="1">
        <f t="array" ref="I40">IFERROR(
MIN(
_xlfn._xlws.FILTER(
--_xlfn.TEXTBEFORE(
SUBSTITUTE(
SUBSTITUTE(PRICING[Min Qty],"+"," "),
"-"," "
),
" "
),
(PRICING[SKU]=$A40)*
(PRICING[Set]=4)*
(PRICING[Rebate $]&lt;&gt;0)*
(PRICING[Rebate $]&lt;&gt;"")
)
),
0
)</f>
        <v>0</v>
      </c>
      <c r="J40" s="5" cm="1">
        <f t="array" ref="J40">SUM(
    SUMIFS(
        PRICING[Rebate $],
        PRICING[Program],
        {"EOP/ORN","ORN","EOP","NOW","LL/NOW","LL/SLP/NOW","LL/SLP/EOP"},
        PRICING[SKU],
        Rebate_Lookup[[#This Row],[SKU CODE]],
        PRICING[Set],
        1
    )
)</f>
        <v>0</v>
      </c>
      <c r="K40" s="5" cm="1">
        <f t="array" ref="K40">SUM(
    SUMIFS(
        PRICING[Rebate $],
        PRICING[Program],
        {"EOP/ORN","ORN","EOP","NOW","LL/NOW","LL/SLP/NOW","LL/SLP/EOP"},
        PRICING[SKU],
        Rebate_Lookup[[#This Row],[SKU CODE]],
        PRICING[Set],
        2
    )
)</f>
        <v>0</v>
      </c>
      <c r="L40" s="5" cm="1">
        <f t="array" ref="L40">SUM(
    SUMIFS(
        PRICING[Rebate $],
        PRICING[Program],
        {"EOP/ORN","ORN","EOP","NOW","LL/NOW","LL/SLP/NOW","LL/SLP/EOP"},
        PRICING[SKU],
        Rebate_Lookup[[#This Row],[SKU CODE]],
        PRICING[Set],
        3
    )
)</f>
        <v>0</v>
      </c>
      <c r="M40" s="5" cm="1">
        <f t="array" ref="M40">SUM(
    SUMIFS(
        PRICING[Rebate $],
        PRICING[Program],
        {"EOP/ORN","ORN","EOP","NOW","LL/NOW","LL/SLP/NOW","LL/SLP/EOP"},
        PRICING[SKU],
        Rebate_Lookup[[#This Row],[SKU CODE]],
        PRICING[Set],
        4
    )
)</f>
        <v>0</v>
      </c>
      <c r="N40" s="5">
        <f>INDEX(Estimates!H:H,MATCH(Rebate_Lookup[[#This Row],[SKU CODE]],Estimates!A:A,0))</f>
        <v>0</v>
      </c>
      <c r="O40"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40" s="5">
        <f>COUNTIF(Estimates!A:A,Rebate_Lookup[[#This Row],[SKU CODE]])</f>
        <v>1</v>
      </c>
      <c r="Q40" s="6" t="b">
        <f>IFERROR(Rebate_Lookup[[#This Row],[Order Form Quantity]]&gt;=Rebate_Lookup[[#This Row],[MOQ_2]],0)</f>
        <v>1</v>
      </c>
    </row>
    <row r="41" spans="1:17" x14ac:dyDescent="0.2">
      <c r="A41" s="168" t="s">
        <v>62</v>
      </c>
      <c r="B41" s="5" t="str">
        <f>INDEX(PRICING[Agency/TT],MATCH(Rebate_Lookup[[#This Row],[SKU CODE]],PRICING[SKU],0))</f>
        <v>A</v>
      </c>
      <c r="C41" s="5" t="str">
        <f>INDEX(PRICING[Product],MATCH(Rebate_Lookup[[#This Row],[SKU CODE]],PRICING[SKU],0))</f>
        <v>Kontos®</v>
      </c>
      <c r="D41" s="5" t="str">
        <f>INDEX(PRICING[Size],MATCH(Rebate_Lookup[[#This Row],[SKU CODE]],PRICING[SKU],0))</f>
        <v>1 qt</v>
      </c>
      <c r="E41" s="5" cm="1">
        <f t="array" ref="E41">SUM(COUNTIFS(
    PRICING[Program],{"EOP/ORN","ORN","EOP","NOW","LL/NOW","LL/SLP/NOW","LL/SLP/EOP"},
    PRICING[SKU],A41
))</f>
        <v>1</v>
      </c>
      <c r="F41" s="5" cm="1">
        <f t="array" ref="F41">IFERROR(
MIN(
_xlfn._xlws.FILTER(
--_xlfn.TEXTBEFORE(
SUBSTITUTE(
SUBSTITUTE(PRICING[Min Qty],"+"," "),
"-"," "
),
" "
),
(PRICING[SKU]=$A41)*
(PRICING[Set]=1)*
(PRICING[Rebate $]&lt;&gt;0)*
(PRICING[Rebate $]&lt;&gt;"")
)
),
0
)</f>
        <v>0</v>
      </c>
      <c r="G41" s="5" cm="1">
        <f t="array" ref="G41">IFERROR(
MIN(
_xlfn._xlws.FILTER(
--_xlfn.TEXTBEFORE(
SUBSTITUTE(
SUBSTITUTE(PRICING[Min Qty],"+"," "),
"-"," "
),
" "
),
(PRICING[SKU]=$A41)*
(PRICING[Set]=2)*
(PRICING[Rebate $]&lt;&gt;0)*
(PRICING[Rebate $]&lt;&gt;"")
)
),
0
)</f>
        <v>0</v>
      </c>
      <c r="H41" s="5" cm="1">
        <f t="array" ref="H41">IFERROR(
MIN(
_xlfn._xlws.FILTER(
--_xlfn.TEXTBEFORE(
SUBSTITUTE(
SUBSTITUTE(PRICING[Min Qty],"+"," "),
"-"," "
),
" "
),
(PRICING[SKU]=$A41)*
(PRICING[Set]=3)*
(PRICING[Rebate $]&lt;&gt;0)*
(PRICING[Rebate $]&lt;&gt;"")
)
),
0
)</f>
        <v>0</v>
      </c>
      <c r="I41" s="5" cm="1">
        <f t="array" ref="I41">IFERROR(
MIN(
_xlfn._xlws.FILTER(
--_xlfn.TEXTBEFORE(
SUBSTITUTE(
SUBSTITUTE(PRICING[Min Qty],"+"," "),
"-"," "
),
" "
),
(PRICING[SKU]=$A41)*
(PRICING[Set]=4)*
(PRICING[Rebate $]&lt;&gt;0)*
(PRICING[Rebate $]&lt;&gt;"")
)
),
0
)</f>
        <v>0</v>
      </c>
      <c r="J41" s="5" cm="1">
        <f t="array" ref="J41">SUM(
    SUMIFS(
        PRICING[Rebate $],
        PRICING[Program],
        {"EOP/ORN","ORN","EOP","NOW","LL/NOW","LL/SLP/NOW","LL/SLP/EOP"},
        PRICING[SKU],
        Rebate_Lookup[[#This Row],[SKU CODE]],
        PRICING[Set],
        1
    )
)</f>
        <v>0</v>
      </c>
      <c r="K41" s="5" cm="1">
        <f t="array" ref="K41">SUM(
    SUMIFS(
        PRICING[Rebate $],
        PRICING[Program],
        {"EOP/ORN","ORN","EOP","NOW","LL/NOW","LL/SLP/NOW","LL/SLP/EOP"},
        PRICING[SKU],
        Rebate_Lookup[[#This Row],[SKU CODE]],
        PRICING[Set],
        2
    )
)</f>
        <v>0</v>
      </c>
      <c r="L41" s="5" cm="1">
        <f t="array" ref="L41">SUM(
    SUMIFS(
        PRICING[Rebate $],
        PRICING[Program],
        {"EOP/ORN","ORN","EOP","NOW","LL/NOW","LL/SLP/NOW","LL/SLP/EOP"},
        PRICING[SKU],
        Rebate_Lookup[[#This Row],[SKU CODE]],
        PRICING[Set],
        3
    )
)</f>
        <v>0</v>
      </c>
      <c r="M41" s="5" cm="1">
        <f t="array" ref="M41">SUM(
    SUMIFS(
        PRICING[Rebate $],
        PRICING[Program],
        {"EOP/ORN","ORN","EOP","NOW","LL/NOW","LL/SLP/NOW","LL/SLP/EOP"},
        PRICING[SKU],
        Rebate_Lookup[[#This Row],[SKU CODE]],
        PRICING[Set],
        4
    )
)</f>
        <v>0</v>
      </c>
      <c r="N41" s="5">
        <f>INDEX(Estimates!H:H,MATCH(Rebate_Lookup[[#This Row],[SKU CODE]],Estimates!A:A,0))</f>
        <v>0</v>
      </c>
      <c r="O41"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41" s="5">
        <f>COUNTIF(Estimates!A:A,Rebate_Lookup[[#This Row],[SKU CODE]])</f>
        <v>1</v>
      </c>
      <c r="Q41" s="6" t="b">
        <f>IFERROR(Rebate_Lookup[[#This Row],[Order Form Quantity]]&gt;=Rebate_Lookup[[#This Row],[MOQ_2]],0)</f>
        <v>1</v>
      </c>
    </row>
    <row r="42" spans="1:17" x14ac:dyDescent="0.2">
      <c r="A42" s="168" t="s">
        <v>63</v>
      </c>
      <c r="B42" s="5" t="str">
        <f>INDEX(PRICING[Agency/TT],MATCH(Rebate_Lookup[[#This Row],[SKU CODE]],PRICING[SKU],0))</f>
        <v>A</v>
      </c>
      <c r="C42" s="5" t="str">
        <f>INDEX(PRICING[Product],MATCH(Rebate_Lookup[[#This Row],[SKU CODE]],PRICING[SKU],0))</f>
        <v>Kontos®</v>
      </c>
      <c r="D42" s="5" t="str">
        <f>INDEX(PRICING[Size],MATCH(Rebate_Lookup[[#This Row],[SKU CODE]],PRICING[SKU],0))</f>
        <v>1 qt</v>
      </c>
      <c r="E42" s="5" cm="1">
        <f t="array" ref="E42">SUM(COUNTIFS(
    PRICING[Program],{"EOP/ORN","ORN","EOP","NOW","LL/NOW","LL/SLP/NOW","LL/SLP/EOP"},
    PRICING[SKU],A42
))</f>
        <v>1</v>
      </c>
      <c r="F42" s="5" cm="1">
        <f t="array" ref="F42">IFERROR(
MIN(
_xlfn._xlws.FILTER(
--_xlfn.TEXTBEFORE(
SUBSTITUTE(
SUBSTITUTE(PRICING[Min Qty],"+"," "),
"-"," "
),
" "
),
(PRICING[SKU]=$A42)*
(PRICING[Set]=1)*
(PRICING[Rebate $]&lt;&gt;0)*
(PRICING[Rebate $]&lt;&gt;"")
)
),
0
)</f>
        <v>0</v>
      </c>
      <c r="G42" s="5" cm="1">
        <f t="array" ref="G42">IFERROR(
MIN(
_xlfn._xlws.FILTER(
--_xlfn.TEXTBEFORE(
SUBSTITUTE(
SUBSTITUTE(PRICING[Min Qty],"+"," "),
"-"," "
),
" "
),
(PRICING[SKU]=$A42)*
(PRICING[Set]=2)*
(PRICING[Rebate $]&lt;&gt;0)*
(PRICING[Rebate $]&lt;&gt;"")
)
),
0
)</f>
        <v>0</v>
      </c>
      <c r="H42" s="5" cm="1">
        <f t="array" ref="H42">IFERROR(
MIN(
_xlfn._xlws.FILTER(
--_xlfn.TEXTBEFORE(
SUBSTITUTE(
SUBSTITUTE(PRICING[Min Qty],"+"," "),
"-"," "
),
" "
),
(PRICING[SKU]=$A42)*
(PRICING[Set]=3)*
(PRICING[Rebate $]&lt;&gt;0)*
(PRICING[Rebate $]&lt;&gt;"")
)
),
0
)</f>
        <v>0</v>
      </c>
      <c r="I42" s="5" cm="1">
        <f t="array" ref="I42">IFERROR(
MIN(
_xlfn._xlws.FILTER(
--_xlfn.TEXTBEFORE(
SUBSTITUTE(
SUBSTITUTE(PRICING[Min Qty],"+"," "),
"-"," "
),
" "
),
(PRICING[SKU]=$A42)*
(PRICING[Set]=4)*
(PRICING[Rebate $]&lt;&gt;0)*
(PRICING[Rebate $]&lt;&gt;"")
)
),
0
)</f>
        <v>0</v>
      </c>
      <c r="J42" s="5" cm="1">
        <f t="array" ref="J42">SUM(
    SUMIFS(
        PRICING[Rebate $],
        PRICING[Program],
        {"EOP/ORN","ORN","EOP","NOW","LL/NOW","LL/SLP/NOW","LL/SLP/EOP"},
        PRICING[SKU],
        Rebate_Lookup[[#This Row],[SKU CODE]],
        PRICING[Set],
        1
    )
)</f>
        <v>0</v>
      </c>
      <c r="K42" s="5" cm="1">
        <f t="array" ref="K42">SUM(
    SUMIFS(
        PRICING[Rebate $],
        PRICING[Program],
        {"EOP/ORN","ORN","EOP","NOW","LL/NOW","LL/SLP/NOW","LL/SLP/EOP"},
        PRICING[SKU],
        Rebate_Lookup[[#This Row],[SKU CODE]],
        PRICING[Set],
        2
    )
)</f>
        <v>0</v>
      </c>
      <c r="L42" s="5" cm="1">
        <f t="array" ref="L42">SUM(
    SUMIFS(
        PRICING[Rebate $],
        PRICING[Program],
        {"EOP/ORN","ORN","EOP","NOW","LL/NOW","LL/SLP/NOW","LL/SLP/EOP"},
        PRICING[SKU],
        Rebate_Lookup[[#This Row],[SKU CODE]],
        PRICING[Set],
        3
    )
)</f>
        <v>0</v>
      </c>
      <c r="M42" s="5" cm="1">
        <f t="array" ref="M42">SUM(
    SUMIFS(
        PRICING[Rebate $],
        PRICING[Program],
        {"EOP/ORN","ORN","EOP","NOW","LL/NOW","LL/SLP/NOW","LL/SLP/EOP"},
        PRICING[SKU],
        Rebate_Lookup[[#This Row],[SKU CODE]],
        PRICING[Set],
        4
    )
)</f>
        <v>0</v>
      </c>
      <c r="N42" s="5">
        <f>INDEX(Estimates!H:H,MATCH(Rebate_Lookup[[#This Row],[SKU CODE]],Estimates!A:A,0))</f>
        <v>0</v>
      </c>
      <c r="O42"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42" s="5">
        <f>COUNTIF(Estimates!A:A,Rebate_Lookup[[#This Row],[SKU CODE]])</f>
        <v>1</v>
      </c>
      <c r="Q42" s="6" t="b">
        <f>IFERROR(Rebate_Lookup[[#This Row],[Order Form Quantity]]&gt;=Rebate_Lookup[[#This Row],[MOQ_2]],0)</f>
        <v>1</v>
      </c>
    </row>
    <row r="43" spans="1:17" x14ac:dyDescent="0.2">
      <c r="A43" s="168" t="s">
        <v>64</v>
      </c>
      <c r="B43" s="5" t="str">
        <f>INDEX(PRICING[Agency/TT],MATCH(Rebate_Lookup[[#This Row],[SKU CODE]],PRICING[SKU],0))</f>
        <v>A</v>
      </c>
      <c r="C43" s="5" t="str">
        <f>INDEX(PRICING[Product],MATCH(Rebate_Lookup[[#This Row],[SKU CODE]],PRICING[SKU],0))</f>
        <v>Kontos®</v>
      </c>
      <c r="D43" s="5" t="str">
        <f>INDEX(PRICING[Size],MATCH(Rebate_Lookup[[#This Row],[SKU CODE]],PRICING[SKU],0))</f>
        <v>1 qt</v>
      </c>
      <c r="E43" s="5" cm="1">
        <f t="array" ref="E43">SUM(COUNTIFS(
    PRICING[Program],{"EOP/ORN","ORN","EOP","NOW","LL/NOW","LL/SLP/NOW","LL/SLP/EOP"},
    PRICING[SKU],A43
))</f>
        <v>1</v>
      </c>
      <c r="F43" s="5" cm="1">
        <f t="array" ref="F43">IFERROR(
MIN(
_xlfn._xlws.FILTER(
--_xlfn.TEXTBEFORE(
SUBSTITUTE(
SUBSTITUTE(PRICING[Min Qty],"+"," "),
"-"," "
),
" "
),
(PRICING[SKU]=$A43)*
(PRICING[Set]=1)*
(PRICING[Rebate $]&lt;&gt;0)*
(PRICING[Rebate $]&lt;&gt;"")
)
),
0
)</f>
        <v>0</v>
      </c>
      <c r="G43" s="5" cm="1">
        <f t="array" ref="G43">IFERROR(
MIN(
_xlfn._xlws.FILTER(
--_xlfn.TEXTBEFORE(
SUBSTITUTE(
SUBSTITUTE(PRICING[Min Qty],"+"," "),
"-"," "
),
" "
),
(PRICING[SKU]=$A43)*
(PRICING[Set]=2)*
(PRICING[Rebate $]&lt;&gt;0)*
(PRICING[Rebate $]&lt;&gt;"")
)
),
0
)</f>
        <v>0</v>
      </c>
      <c r="H43" s="5" cm="1">
        <f t="array" ref="H43">IFERROR(
MIN(
_xlfn._xlws.FILTER(
--_xlfn.TEXTBEFORE(
SUBSTITUTE(
SUBSTITUTE(PRICING[Min Qty],"+"," "),
"-"," "
),
" "
),
(PRICING[SKU]=$A43)*
(PRICING[Set]=3)*
(PRICING[Rebate $]&lt;&gt;0)*
(PRICING[Rebate $]&lt;&gt;"")
)
),
0
)</f>
        <v>0</v>
      </c>
      <c r="I43" s="5" cm="1">
        <f t="array" ref="I43">IFERROR(
MIN(
_xlfn._xlws.FILTER(
--_xlfn.TEXTBEFORE(
SUBSTITUTE(
SUBSTITUTE(PRICING[Min Qty],"+"," "),
"-"," "
),
" "
),
(PRICING[SKU]=$A43)*
(PRICING[Set]=4)*
(PRICING[Rebate $]&lt;&gt;0)*
(PRICING[Rebate $]&lt;&gt;"")
)
),
0
)</f>
        <v>0</v>
      </c>
      <c r="J43" s="5" cm="1">
        <f t="array" ref="J43">SUM(
    SUMIFS(
        PRICING[Rebate $],
        PRICING[Program],
        {"EOP/ORN","ORN","EOP","NOW","LL/NOW","LL/SLP/NOW","LL/SLP/EOP"},
        PRICING[SKU],
        Rebate_Lookup[[#This Row],[SKU CODE]],
        PRICING[Set],
        1
    )
)</f>
        <v>0</v>
      </c>
      <c r="K43" s="5" cm="1">
        <f t="array" ref="K43">SUM(
    SUMIFS(
        PRICING[Rebate $],
        PRICING[Program],
        {"EOP/ORN","ORN","EOP","NOW","LL/NOW","LL/SLP/NOW","LL/SLP/EOP"},
        PRICING[SKU],
        Rebate_Lookup[[#This Row],[SKU CODE]],
        PRICING[Set],
        2
    )
)</f>
        <v>0</v>
      </c>
      <c r="L43" s="5" cm="1">
        <f t="array" ref="L43">SUM(
    SUMIFS(
        PRICING[Rebate $],
        PRICING[Program],
        {"EOP/ORN","ORN","EOP","NOW","LL/NOW","LL/SLP/NOW","LL/SLP/EOP"},
        PRICING[SKU],
        Rebate_Lookup[[#This Row],[SKU CODE]],
        PRICING[Set],
        3
    )
)</f>
        <v>0</v>
      </c>
      <c r="M43" s="5" cm="1">
        <f t="array" ref="M43">SUM(
    SUMIFS(
        PRICING[Rebate $],
        PRICING[Program],
        {"EOP/ORN","ORN","EOP","NOW","LL/NOW","LL/SLP/NOW","LL/SLP/EOP"},
        PRICING[SKU],
        Rebate_Lookup[[#This Row],[SKU CODE]],
        PRICING[Set],
        4
    )
)</f>
        <v>0</v>
      </c>
      <c r="N43" s="5">
        <f>INDEX(Estimates!H:H,MATCH(Rebate_Lookup[[#This Row],[SKU CODE]],Estimates!A:A,0))</f>
        <v>0</v>
      </c>
      <c r="O43"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43" s="5">
        <f>COUNTIF(Estimates!A:A,Rebate_Lookup[[#This Row],[SKU CODE]])</f>
        <v>1</v>
      </c>
      <c r="Q43" s="6" t="b">
        <f>IFERROR(Rebate_Lookup[[#This Row],[Order Form Quantity]]&gt;=Rebate_Lookup[[#This Row],[MOQ_2]],0)</f>
        <v>1</v>
      </c>
    </row>
    <row r="44" spans="1:17" hidden="1" x14ac:dyDescent="0.2">
      <c r="A44" s="168" t="s">
        <v>96</v>
      </c>
      <c r="B44" s="5" t="str">
        <f>INDEX(PRICING[Agency/TT],MATCH(Rebate_Lookup[[#This Row],[SKU CODE]],PRICING[SKU],0))</f>
        <v>TT</v>
      </c>
      <c r="C44" s="5" t="str">
        <f>INDEX(PRICING[Product],MATCH(Rebate_Lookup[[#This Row],[SKU CODE]],PRICING[SKU],0))</f>
        <v>Merit WP 75</v>
      </c>
      <c r="D44" s="5" t="str">
        <f>INDEX(PRICING[Size],MATCH(Rebate_Lookup[[#This Row],[SKU CODE]],PRICING[SKU],0))</f>
        <v>1.6 oz</v>
      </c>
      <c r="E44" s="5" cm="1">
        <f t="array" ref="E44">SUM(COUNTIFS(
    PRICING[Program],{"EOP/ORN","ORN","EOP","NOW","LL/NOW","LL/SLP/NOW","LL/SLP/EOP"},
    PRICING[SKU],A44
))</f>
        <v>1</v>
      </c>
      <c r="F44" s="5" cm="1">
        <f t="array" ref="F44">IFERROR(
MIN(
_xlfn._xlws.FILTER(
--_xlfn.TEXTBEFORE(
SUBSTITUTE(
SUBSTITUTE(PRICING[Min Qty],"+"," "),
"-"," "
),
" "
),
(PRICING[SKU]=$A44)*
(PRICING[Set]=1)*
(PRICING[Rebate $]&lt;&gt;0)*
(PRICING[Rebate $]&lt;&gt;"")
)
),
0
)</f>
        <v>0</v>
      </c>
      <c r="G44" s="5" cm="1">
        <f t="array" ref="G44">IFERROR(
MIN(
_xlfn._xlws.FILTER(
--_xlfn.TEXTBEFORE(
SUBSTITUTE(
SUBSTITUTE(PRICING[Min Qty],"+"," "),
"-"," "
),
" "
),
(PRICING[SKU]=$A44)*
(PRICING[Set]=2)*
(PRICING[Rebate $]&lt;&gt;0)*
(PRICING[Rebate $]&lt;&gt;"")
)
),
0
)</f>
        <v>0</v>
      </c>
      <c r="H44" s="5" cm="1">
        <f t="array" ref="H44">IFERROR(
MIN(
_xlfn._xlws.FILTER(
--_xlfn.TEXTBEFORE(
SUBSTITUTE(
SUBSTITUTE(PRICING[Min Qty],"+"," "),
"-"," "
),
" "
),
(PRICING[SKU]=$A44)*
(PRICING[Set]=3)*
(PRICING[Rebate $]&lt;&gt;0)*
(PRICING[Rebate $]&lt;&gt;"")
)
),
0
)</f>
        <v>0</v>
      </c>
      <c r="I44" s="5" cm="1">
        <f t="array" ref="I44">IFERROR(
MIN(
_xlfn._xlws.FILTER(
--_xlfn.TEXTBEFORE(
SUBSTITUTE(
SUBSTITUTE(PRICING[Min Qty],"+"," "),
"-"," "
),
" "
),
(PRICING[SKU]=$A44)*
(PRICING[Set]=4)*
(PRICING[Rebate $]&lt;&gt;0)*
(PRICING[Rebate $]&lt;&gt;"")
)
),
0
)</f>
        <v>0</v>
      </c>
      <c r="J44" s="5" cm="1">
        <f t="array" ref="J44">SUM(
    SUMIFS(
        PRICING[Rebate $],
        PRICING[Program],
        {"EOP/ORN","ORN","EOP","NOW","LL/NOW","LL/SLP/NOW","LL/SLP/EOP"},
        PRICING[SKU],
        Rebate_Lookup[[#This Row],[SKU CODE]],
        PRICING[Set],
        1
    )
)</f>
        <v>0</v>
      </c>
      <c r="K44" s="5" cm="1">
        <f t="array" ref="K44">SUM(
    SUMIFS(
        PRICING[Rebate $],
        PRICING[Program],
        {"EOP/ORN","ORN","EOP","NOW","LL/NOW","LL/SLP/NOW","LL/SLP/EOP"},
        PRICING[SKU],
        Rebate_Lookup[[#This Row],[SKU CODE]],
        PRICING[Set],
        2
    )
)</f>
        <v>0</v>
      </c>
      <c r="L44" s="5" cm="1">
        <f t="array" ref="L44">SUM(
    SUMIFS(
        PRICING[Rebate $],
        PRICING[Program],
        {"EOP/ORN","ORN","EOP","NOW","LL/NOW","LL/SLP/NOW","LL/SLP/EOP"},
        PRICING[SKU],
        Rebate_Lookup[[#This Row],[SKU CODE]],
        PRICING[Set],
        3
    )
)</f>
        <v>0</v>
      </c>
      <c r="M44" s="5" cm="1">
        <f t="array" ref="M44">SUM(
    SUMIFS(
        PRICING[Rebate $],
        PRICING[Program],
        {"EOP/ORN","ORN","EOP","NOW","LL/NOW","LL/SLP/NOW","LL/SLP/EOP"},
        PRICING[SKU],
        Rebate_Lookup[[#This Row],[SKU CODE]],
        PRICING[Set],
        4
    )
)</f>
        <v>0</v>
      </c>
      <c r="N44" s="5">
        <f>INDEX(Estimates!H:H,MATCH(Rebate_Lookup[[#This Row],[SKU CODE]],Estimates!A:A,0))</f>
        <v>0</v>
      </c>
      <c r="O44"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44" s="5">
        <f>COUNTIF(Estimates!A:A,Rebate_Lookup[[#This Row],[SKU CODE]])</f>
        <v>1</v>
      </c>
      <c r="Q44" s="6" t="b">
        <f>IFERROR(Rebate_Lookup[[#This Row],[Order Form Quantity]]&gt;=Rebate_Lookup[[#This Row],[MOQ_2]],0)</f>
        <v>1</v>
      </c>
    </row>
    <row r="45" spans="1:17" hidden="1" x14ac:dyDescent="0.2">
      <c r="A45" s="168" t="s">
        <v>95</v>
      </c>
      <c r="B45" s="5" t="str">
        <f>INDEX(PRICING[Agency/TT],MATCH(Rebate_Lookup[[#This Row],[SKU CODE]],PRICING[SKU],0))</f>
        <v>TT</v>
      </c>
      <c r="C45" s="5" t="str">
        <f>INDEX(PRICING[Product],MATCH(Rebate_Lookup[[#This Row],[SKU CODE]],PRICING[SKU],0))</f>
        <v>Merit® 2F®</v>
      </c>
      <c r="D45" s="5" t="str">
        <f>INDEX(PRICING[Size],MATCH(Rebate_Lookup[[#This Row],[SKU CODE]],PRICING[SKU],0))</f>
        <v>1 gal</v>
      </c>
      <c r="E45" s="5" cm="1">
        <f t="array" ref="E45">SUM(COUNTIFS(
    PRICING[Program],{"EOP/ORN","ORN","EOP","NOW","LL/NOW","LL/SLP/NOW","LL/SLP/EOP"},
    PRICING[SKU],A45
))</f>
        <v>1</v>
      </c>
      <c r="F45" s="5" cm="1">
        <f t="array" ref="F45">IFERROR(
MIN(
_xlfn._xlws.FILTER(
--_xlfn.TEXTBEFORE(
SUBSTITUTE(
SUBSTITUTE(PRICING[Min Qty],"+"," "),
"-"," "
),
" "
),
(PRICING[SKU]=$A45)*
(PRICING[Set]=1)*
(PRICING[Rebate $]&lt;&gt;0)*
(PRICING[Rebate $]&lt;&gt;"")
)
),
0
)</f>
        <v>0</v>
      </c>
      <c r="G45" s="5" cm="1">
        <f t="array" ref="G45">IFERROR(
MIN(
_xlfn._xlws.FILTER(
--_xlfn.TEXTBEFORE(
SUBSTITUTE(
SUBSTITUTE(PRICING[Min Qty],"+"," "),
"-"," "
),
" "
),
(PRICING[SKU]=$A45)*
(PRICING[Set]=2)*
(PRICING[Rebate $]&lt;&gt;0)*
(PRICING[Rebate $]&lt;&gt;"")
)
),
0
)</f>
        <v>0</v>
      </c>
      <c r="H45" s="5" cm="1">
        <f t="array" ref="H45">IFERROR(
MIN(
_xlfn._xlws.FILTER(
--_xlfn.TEXTBEFORE(
SUBSTITUTE(
SUBSTITUTE(PRICING[Min Qty],"+"," "),
"-"," "
),
" "
),
(PRICING[SKU]=$A45)*
(PRICING[Set]=3)*
(PRICING[Rebate $]&lt;&gt;0)*
(PRICING[Rebate $]&lt;&gt;"")
)
),
0
)</f>
        <v>0</v>
      </c>
      <c r="I45" s="5" cm="1">
        <f t="array" ref="I45">IFERROR(
MIN(
_xlfn._xlws.FILTER(
--_xlfn.TEXTBEFORE(
SUBSTITUTE(
SUBSTITUTE(PRICING[Min Qty],"+"," "),
"-"," "
),
" "
),
(PRICING[SKU]=$A45)*
(PRICING[Set]=4)*
(PRICING[Rebate $]&lt;&gt;0)*
(PRICING[Rebate $]&lt;&gt;"")
)
),
0
)</f>
        <v>0</v>
      </c>
      <c r="J45" s="5" cm="1">
        <f t="array" ref="J45">SUM(
    SUMIFS(
        PRICING[Rebate $],
        PRICING[Program],
        {"EOP/ORN","ORN","EOP","NOW","LL/NOW","LL/SLP/NOW","LL/SLP/EOP"},
        PRICING[SKU],
        Rebate_Lookup[[#This Row],[SKU CODE]],
        PRICING[Set],
        1
    )
)</f>
        <v>1</v>
      </c>
      <c r="K45" s="5" cm="1">
        <f t="array" ref="K45">SUM(
    SUMIFS(
        PRICING[Rebate $],
        PRICING[Program],
        {"EOP/ORN","ORN","EOP","NOW","LL/NOW","LL/SLP/NOW","LL/SLP/EOP"},
        PRICING[SKU],
        Rebate_Lookup[[#This Row],[SKU CODE]],
        PRICING[Set],
        2
    )
)</f>
        <v>0</v>
      </c>
      <c r="L45" s="5" cm="1">
        <f t="array" ref="L45">SUM(
    SUMIFS(
        PRICING[Rebate $],
        PRICING[Program],
        {"EOP/ORN","ORN","EOP","NOW","LL/NOW","LL/SLP/NOW","LL/SLP/EOP"},
        PRICING[SKU],
        Rebate_Lookup[[#This Row],[SKU CODE]],
        PRICING[Set],
        3
    )
)</f>
        <v>0</v>
      </c>
      <c r="M45" s="5" cm="1">
        <f t="array" ref="M45">SUM(
    SUMIFS(
        PRICING[Rebate $],
        PRICING[Program],
        {"EOP/ORN","ORN","EOP","NOW","LL/NOW","LL/SLP/NOW","LL/SLP/EOP"},
        PRICING[SKU],
        Rebate_Lookup[[#This Row],[SKU CODE]],
        PRICING[Set],
        4
    )
)</f>
        <v>0</v>
      </c>
      <c r="N45" s="5">
        <f>INDEX(Estimates!H:H,MATCH(Rebate_Lookup[[#This Row],[SKU CODE]],Estimates!A:A,0))</f>
        <v>0</v>
      </c>
      <c r="O45"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45" s="5">
        <f>COUNTIF(Estimates!A:A,Rebate_Lookup[[#This Row],[SKU CODE]])</f>
        <v>1</v>
      </c>
      <c r="Q45" s="6" t="b">
        <f>IFERROR(Rebate_Lookup[[#This Row],[Order Form Quantity]]&gt;=Rebate_Lookup[[#This Row],[MOQ_2]],0)</f>
        <v>1</v>
      </c>
    </row>
    <row r="46" spans="1:17" x14ac:dyDescent="0.2">
      <c r="A46" s="168" t="s">
        <v>65</v>
      </c>
      <c r="B46" s="5" t="str">
        <f>INDEX(PRICING[Agency/TT],MATCH(Rebate_Lookup[[#This Row],[SKU CODE]],PRICING[SKU],0))</f>
        <v>A</v>
      </c>
      <c r="C46" s="5" t="str">
        <f>INDEX(PRICING[Product],MATCH(Rebate_Lookup[[#This Row],[SKU CODE]],PRICING[SKU],0))</f>
        <v>Mirage® Stressgard®</v>
      </c>
      <c r="D46" s="5" t="str">
        <f>INDEX(PRICING[Size],MATCH(Rebate_Lookup[[#This Row],[SKU CODE]],PRICING[SKU],0))</f>
        <v>2.5 gal</v>
      </c>
      <c r="E46" s="5" cm="1">
        <f t="array" ref="E46">SUM(COUNTIFS(
    PRICING[Program],{"EOP/ORN","ORN","EOP","NOW","LL/NOW","LL/SLP/NOW","LL/SLP/EOP"},
    PRICING[SKU],A46
))</f>
        <v>2</v>
      </c>
      <c r="F46" s="5" cm="1">
        <f t="array" ref="F46">IFERROR(
MIN(
_xlfn._xlws.FILTER(
--_xlfn.TEXTBEFORE(
SUBSTITUTE(
SUBSTITUTE(PRICING[Min Qty],"+"," "),
"-"," "
),
" "
),
(PRICING[SKU]=$A46)*
(PRICING[Set]=1)*
(PRICING[Rebate $]&lt;&gt;0)*
(PRICING[Rebate $]&lt;&gt;"")
)
),
0
)</f>
        <v>1</v>
      </c>
      <c r="G46" s="5" cm="1">
        <f t="array" ref="G46">IFERROR(
MIN(
_xlfn._xlws.FILTER(
--_xlfn.TEXTBEFORE(
SUBSTITUTE(
SUBSTITUTE(PRICING[Min Qty],"+"," "),
"-"," "
),
" "
),
(PRICING[SKU]=$A46)*
(PRICING[Set]=2)*
(PRICING[Rebate $]&lt;&gt;0)*
(PRICING[Rebate $]&lt;&gt;"")
)
),
0
)</f>
        <v>4</v>
      </c>
      <c r="H46" s="5" cm="1">
        <f t="array" ref="H46">IFERROR(
MIN(
_xlfn._xlws.FILTER(
--_xlfn.TEXTBEFORE(
SUBSTITUTE(
SUBSTITUTE(PRICING[Min Qty],"+"," "),
"-"," "
),
" "
),
(PRICING[SKU]=$A46)*
(PRICING[Set]=3)*
(PRICING[Rebate $]&lt;&gt;0)*
(PRICING[Rebate $]&lt;&gt;"")
)
),
0
)</f>
        <v>0</v>
      </c>
      <c r="I46" s="5" cm="1">
        <f t="array" ref="I46">IFERROR(
MIN(
_xlfn._xlws.FILTER(
--_xlfn.TEXTBEFORE(
SUBSTITUTE(
SUBSTITUTE(PRICING[Min Qty],"+"," "),
"-"," "
),
" "
),
(PRICING[SKU]=$A46)*
(PRICING[Set]=4)*
(PRICING[Rebate $]&lt;&gt;0)*
(PRICING[Rebate $]&lt;&gt;"")
)
),
0
)</f>
        <v>0</v>
      </c>
      <c r="J46" s="5" cm="1">
        <f t="array" ref="J46">SUM(
    SUMIFS(
        PRICING[Rebate $],
        PRICING[Program],
        {"EOP/ORN","ORN","EOP","NOW","LL/NOW","LL/SLP/NOW","LL/SLP/EOP"},
        PRICING[SKU],
        Rebate_Lookup[[#This Row],[SKU CODE]],
        PRICING[Set],
        1
    )
)</f>
        <v>15</v>
      </c>
      <c r="K46" s="5" cm="1">
        <f t="array" ref="K46">SUM(
    SUMIFS(
        PRICING[Rebate $],
        PRICING[Program],
        {"EOP/ORN","ORN","EOP","NOW","LL/NOW","LL/SLP/NOW","LL/SLP/EOP"},
        PRICING[SKU],
        Rebate_Lookup[[#This Row],[SKU CODE]],
        PRICING[Set],
        2
    )
)</f>
        <v>75</v>
      </c>
      <c r="L46" s="5" cm="1">
        <f t="array" ref="L46">SUM(
    SUMIFS(
        PRICING[Rebate $],
        PRICING[Program],
        {"EOP/ORN","ORN","EOP","NOW","LL/NOW","LL/SLP/NOW","LL/SLP/EOP"},
        PRICING[SKU],
        Rebate_Lookup[[#This Row],[SKU CODE]],
        PRICING[Set],
        3
    )
)</f>
        <v>0</v>
      </c>
      <c r="M46" s="5" cm="1">
        <f t="array" ref="M46">SUM(
    SUMIFS(
        PRICING[Rebate $],
        PRICING[Program],
        {"EOP/ORN","ORN","EOP","NOW","LL/NOW","LL/SLP/NOW","LL/SLP/EOP"},
        PRICING[SKU],
        Rebate_Lookup[[#This Row],[SKU CODE]],
        PRICING[Set],
        4
    )
)</f>
        <v>0</v>
      </c>
      <c r="N46" s="5">
        <f>INDEX(Estimates!H:H,MATCH(Rebate_Lookup[[#This Row],[SKU CODE]],Estimates!A:A,0))</f>
        <v>0</v>
      </c>
      <c r="O46" s="5"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46" s="5">
        <f>COUNTIF(Estimates!A:A,Rebate_Lookup[[#This Row],[SKU CODE]])</f>
        <v>1</v>
      </c>
      <c r="Q46" s="6" t="b">
        <f>IFERROR(Rebate_Lookup[[#This Row],[Order Form Quantity]]&gt;=Rebate_Lookup[[#This Row],[MOQ_2]],0)</f>
        <v>0</v>
      </c>
    </row>
    <row r="47" spans="1:17" hidden="1" x14ac:dyDescent="0.2">
      <c r="A47" s="168">
        <v>86215578</v>
      </c>
      <c r="B47" s="5" t="str">
        <f>INDEX(PRICING[Agency/TT],MATCH(Rebate_Lookup[[#This Row],[SKU CODE]],PRICING[SKU],0))</f>
        <v>TT</v>
      </c>
      <c r="C47" s="5" t="str">
        <f>INDEX(PRICING[Product],MATCH(Rebate_Lookup[[#This Row],[SKU CODE]],PRICING[SKU],0))</f>
        <v>Prograss EC</v>
      </c>
      <c r="D47" s="5" t="str">
        <f>INDEX(PRICING[Size],MATCH(Rebate_Lookup[[#This Row],[SKU CODE]],PRICING[SKU],0))</f>
        <v xml:space="preserve">2.5 gal </v>
      </c>
      <c r="E47" s="5" cm="1">
        <f t="array" ref="E47">SUM(COUNTIFS(
    PRICING[Program],{"EOP/ORN","ORN","EOP","NOW","LL/NOW","LL/SLP/NOW","LL/SLP/EOP"},
    PRICING[SKU],A47
))</f>
        <v>1</v>
      </c>
      <c r="F47" s="5" cm="1">
        <f t="array" ref="F47">IFERROR(
MIN(
_xlfn._xlws.FILTER(
--_xlfn.TEXTBEFORE(
SUBSTITUTE(
SUBSTITUTE(PRICING[Min Qty],"+"," "),
"-"," "
),
" "
),
(PRICING[SKU]=$A47)*
(PRICING[Set]=1)*
(PRICING[Rebate $]&lt;&gt;0)*
(PRICING[Rebate $]&lt;&gt;"")
)
),
0
)</f>
        <v>0</v>
      </c>
      <c r="G47" s="5" cm="1">
        <f t="array" ref="G47">IFERROR(
MIN(
_xlfn._xlws.FILTER(
--_xlfn.TEXTBEFORE(
SUBSTITUTE(
SUBSTITUTE(PRICING[Min Qty],"+"," "),
"-"," "
),
" "
),
(PRICING[SKU]=$A47)*
(PRICING[Set]=2)*
(PRICING[Rebate $]&lt;&gt;0)*
(PRICING[Rebate $]&lt;&gt;"")
)
),
0
)</f>
        <v>0</v>
      </c>
      <c r="H47" s="5" cm="1">
        <f t="array" ref="H47">IFERROR(
MIN(
_xlfn._xlws.FILTER(
--_xlfn.TEXTBEFORE(
SUBSTITUTE(
SUBSTITUTE(PRICING[Min Qty],"+"," "),
"-"," "
),
" "
),
(PRICING[SKU]=$A47)*
(PRICING[Set]=3)*
(PRICING[Rebate $]&lt;&gt;0)*
(PRICING[Rebate $]&lt;&gt;"")
)
),
0
)</f>
        <v>0</v>
      </c>
      <c r="I47" s="5" cm="1">
        <f t="array" ref="I47">IFERROR(
MIN(
_xlfn._xlws.FILTER(
--_xlfn.TEXTBEFORE(
SUBSTITUTE(
SUBSTITUTE(PRICING[Min Qty],"+"," "),
"-"," "
),
" "
),
(PRICING[SKU]=$A47)*
(PRICING[Set]=4)*
(PRICING[Rebate $]&lt;&gt;0)*
(PRICING[Rebate $]&lt;&gt;"")
)
),
0
)</f>
        <v>0</v>
      </c>
      <c r="J47" s="5" cm="1">
        <f t="array" ref="J47">SUM(
    SUMIFS(
        PRICING[Rebate $],
        PRICING[Program],
        {"EOP/ORN","ORN","EOP","NOW","LL/NOW","LL/SLP/NOW","LL/SLP/EOP"},
        PRICING[SKU],
        Rebate_Lookup[[#This Row],[SKU CODE]],
        PRICING[Set],
        1
    )
)</f>
        <v>15</v>
      </c>
      <c r="K47" s="5" cm="1">
        <f t="array" ref="K47">SUM(
    SUMIFS(
        PRICING[Rebate $],
        PRICING[Program],
        {"EOP/ORN","ORN","EOP","NOW","LL/NOW","LL/SLP/NOW","LL/SLP/EOP"},
        PRICING[SKU],
        Rebate_Lookup[[#This Row],[SKU CODE]],
        PRICING[Set],
        2
    )
)</f>
        <v>0</v>
      </c>
      <c r="L47" s="5" cm="1">
        <f t="array" ref="L47">SUM(
    SUMIFS(
        PRICING[Rebate $],
        PRICING[Program],
        {"EOP/ORN","ORN","EOP","NOW","LL/NOW","LL/SLP/NOW","LL/SLP/EOP"},
        PRICING[SKU],
        Rebate_Lookup[[#This Row],[SKU CODE]],
        PRICING[Set],
        3
    )
)</f>
        <v>0</v>
      </c>
      <c r="M47" s="5" cm="1">
        <f t="array" ref="M47">SUM(
    SUMIFS(
        PRICING[Rebate $],
        PRICING[Program],
        {"EOP/ORN","ORN","EOP","NOW","LL/NOW","LL/SLP/NOW","LL/SLP/EOP"},
        PRICING[SKU],
        Rebate_Lookup[[#This Row],[SKU CODE]],
        PRICING[Set],
        4
    )
)</f>
        <v>0</v>
      </c>
      <c r="N47" s="5">
        <f>INDEX(Estimates!H:H,MATCH(Rebate_Lookup[[#This Row],[SKU CODE]],Estimates!A:A,0))</f>
        <v>0</v>
      </c>
      <c r="O47"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47" s="5">
        <f>COUNTIF(Estimates!A:A,Rebate_Lookup[[#This Row],[SKU CODE]])</f>
        <v>1</v>
      </c>
      <c r="Q47" s="6" t="b">
        <f>IFERROR(Rebate_Lookup[[#This Row],[Order Form Quantity]]&gt;=Rebate_Lookup[[#This Row],[MOQ_2]],0)</f>
        <v>1</v>
      </c>
    </row>
    <row r="48" spans="1:17" hidden="1" x14ac:dyDescent="0.2">
      <c r="A48" s="168" t="s">
        <v>97</v>
      </c>
      <c r="B48" s="5" t="str">
        <f>INDEX(PRICING[Agency/TT],MATCH(Rebate_Lookup[[#This Row],[SKU CODE]],PRICING[SKU],0))</f>
        <v>TT</v>
      </c>
      <c r="C48" s="5" t="str">
        <f>INDEX(PRICING[Product],MATCH(Rebate_Lookup[[#This Row],[SKU CODE]],PRICING[SKU],0))</f>
        <v>Proxy®</v>
      </c>
      <c r="D48" s="5" t="str">
        <f>INDEX(PRICING[Size],MATCH(Rebate_Lookup[[#This Row],[SKU CODE]],PRICING[SKU],0))</f>
        <v xml:space="preserve">2.5 gal </v>
      </c>
      <c r="E48" s="5" cm="1">
        <f t="array" ref="E48">SUM(COUNTIFS(
    PRICING[Program],{"EOP/ORN","ORN","EOP","NOW","LL/NOW","LL/SLP/NOW","LL/SLP/EOP"},
    PRICING[SKU],A48
))</f>
        <v>1</v>
      </c>
      <c r="F48" s="5" cm="1">
        <f t="array" ref="F48">IFERROR(
MIN(
_xlfn._xlws.FILTER(
--_xlfn.TEXTBEFORE(
SUBSTITUTE(
SUBSTITUTE(PRICING[Min Qty],"+"," "),
"-"," "
),
" "
),
(PRICING[SKU]=$A48)*
(PRICING[Set]=1)*
(PRICING[Rebate $]&lt;&gt;0)*
(PRICING[Rebate $]&lt;&gt;"")
)
),
0
)</f>
        <v>0</v>
      </c>
      <c r="G48" s="5" cm="1">
        <f t="array" ref="G48">IFERROR(
MIN(
_xlfn._xlws.FILTER(
--_xlfn.TEXTBEFORE(
SUBSTITUTE(
SUBSTITUTE(PRICING[Min Qty],"+"," "),
"-"," "
),
" "
),
(PRICING[SKU]=$A48)*
(PRICING[Set]=2)*
(PRICING[Rebate $]&lt;&gt;0)*
(PRICING[Rebate $]&lt;&gt;"")
)
),
0
)</f>
        <v>0</v>
      </c>
      <c r="H48" s="5" cm="1">
        <f t="array" ref="H48">IFERROR(
MIN(
_xlfn._xlws.FILTER(
--_xlfn.TEXTBEFORE(
SUBSTITUTE(
SUBSTITUTE(PRICING[Min Qty],"+"," "),
"-"," "
),
" "
),
(PRICING[SKU]=$A48)*
(PRICING[Set]=3)*
(PRICING[Rebate $]&lt;&gt;0)*
(PRICING[Rebate $]&lt;&gt;"")
)
),
0
)</f>
        <v>0</v>
      </c>
      <c r="I48" s="5" cm="1">
        <f t="array" ref="I48">IFERROR(
MIN(
_xlfn._xlws.FILTER(
--_xlfn.TEXTBEFORE(
SUBSTITUTE(
SUBSTITUTE(PRICING[Min Qty],"+"," "),
"-"," "
),
" "
),
(PRICING[SKU]=$A48)*
(PRICING[Set]=4)*
(PRICING[Rebate $]&lt;&gt;0)*
(PRICING[Rebate $]&lt;&gt;"")
)
),
0
)</f>
        <v>0</v>
      </c>
      <c r="J48" s="5" cm="1">
        <f t="array" ref="J48">SUM(
    SUMIFS(
        PRICING[Rebate $],
        PRICING[Program],
        {"EOP/ORN","ORN","EOP","NOW","LL/NOW","LL/SLP/NOW","LL/SLP/EOP"},
        PRICING[SKU],
        Rebate_Lookup[[#This Row],[SKU CODE]],
        PRICING[Set],
        1
    )
)</f>
        <v>5</v>
      </c>
      <c r="K48" s="5" cm="1">
        <f t="array" ref="K48">SUM(
    SUMIFS(
        PRICING[Rebate $],
        PRICING[Program],
        {"EOP/ORN","ORN","EOP","NOW","LL/NOW","LL/SLP/NOW","LL/SLP/EOP"},
        PRICING[SKU],
        Rebate_Lookup[[#This Row],[SKU CODE]],
        PRICING[Set],
        2
    )
)</f>
        <v>0</v>
      </c>
      <c r="L48" s="5" cm="1">
        <f t="array" ref="L48">SUM(
    SUMIFS(
        PRICING[Rebate $],
        PRICING[Program],
        {"EOP/ORN","ORN","EOP","NOW","LL/NOW","LL/SLP/NOW","LL/SLP/EOP"},
        PRICING[SKU],
        Rebate_Lookup[[#This Row],[SKU CODE]],
        PRICING[Set],
        3
    )
)</f>
        <v>0</v>
      </c>
      <c r="M48" s="5" cm="1">
        <f t="array" ref="M48">SUM(
    SUMIFS(
        PRICING[Rebate $],
        PRICING[Program],
        {"EOP/ORN","ORN","EOP","NOW","LL/NOW","LL/SLP/NOW","LL/SLP/EOP"},
        PRICING[SKU],
        Rebate_Lookup[[#This Row],[SKU CODE]],
        PRICING[Set],
        4
    )
)</f>
        <v>0</v>
      </c>
      <c r="N48" s="5">
        <f>INDEX(Estimates!H:H,MATCH(Rebate_Lookup[[#This Row],[SKU CODE]],Estimates!A:A,0))</f>
        <v>0</v>
      </c>
      <c r="O48"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48" s="5">
        <f>COUNTIF(Estimates!A:A,Rebate_Lookup[[#This Row],[SKU CODE]])</f>
        <v>1</v>
      </c>
      <c r="Q48" s="6" t="b">
        <f>IFERROR(Rebate_Lookup[[#This Row],[Order Form Quantity]]&gt;=Rebate_Lookup[[#This Row],[MOQ_2]],0)</f>
        <v>1</v>
      </c>
    </row>
    <row r="49" spans="1:17" hidden="1" x14ac:dyDescent="0.2">
      <c r="A49" s="168">
        <v>11008447</v>
      </c>
      <c r="B49" s="5" t="str">
        <f>INDEX(PRICING[Agency/TT],MATCH(Rebate_Lookup[[#This Row],[SKU CODE]],PRICING[SKU],0))</f>
        <v>TT</v>
      </c>
      <c r="C49" s="5" t="str">
        <f>INDEX(PRICING[Product],MATCH(Rebate_Lookup[[#This Row],[SKU CODE]],PRICING[SKU],0))</f>
        <v xml:space="preserve">QuickSilver® Herbicide </v>
      </c>
      <c r="D49" s="5" t="str">
        <f>INDEX(PRICING[Size],MATCH(Rebate_Lookup[[#This Row],[SKU CODE]],PRICING[SKU],0))</f>
        <v>8 oz</v>
      </c>
      <c r="E49" s="5" cm="1">
        <f t="array" ref="E49">SUM(COUNTIFS(
    PRICING[Program],{"EOP/ORN","ORN","EOP","NOW","LL/NOW","LL/SLP/NOW","LL/SLP/EOP"},
    PRICING[SKU],A49
))</f>
        <v>1</v>
      </c>
      <c r="F49" s="5" cm="1">
        <f t="array" ref="F49">IFERROR(
MIN(
_xlfn._xlws.FILTER(
--_xlfn.TEXTBEFORE(
SUBSTITUTE(
SUBSTITUTE(PRICING[Min Qty],"+"," "),
"-"," "
),
" "
),
(PRICING[SKU]=$A49)*
(PRICING[Set]=1)*
(PRICING[Rebate $]&lt;&gt;0)*
(PRICING[Rebate $]&lt;&gt;"")
)
),
0
)</f>
        <v>0</v>
      </c>
      <c r="G49" s="5" cm="1">
        <f t="array" ref="G49">IFERROR(
MIN(
_xlfn._xlws.FILTER(
--_xlfn.TEXTBEFORE(
SUBSTITUTE(
SUBSTITUTE(PRICING[Min Qty],"+"," "),
"-"," "
),
" "
),
(PRICING[SKU]=$A49)*
(PRICING[Set]=2)*
(PRICING[Rebate $]&lt;&gt;0)*
(PRICING[Rebate $]&lt;&gt;"")
)
),
0
)</f>
        <v>0</v>
      </c>
      <c r="H49" s="5" cm="1">
        <f t="array" ref="H49">IFERROR(
MIN(
_xlfn._xlws.FILTER(
--_xlfn.TEXTBEFORE(
SUBSTITUTE(
SUBSTITUTE(PRICING[Min Qty],"+"," "),
"-"," "
),
" "
),
(PRICING[SKU]=$A49)*
(PRICING[Set]=3)*
(PRICING[Rebate $]&lt;&gt;0)*
(PRICING[Rebate $]&lt;&gt;"")
)
),
0
)</f>
        <v>0</v>
      </c>
      <c r="I49" s="5" cm="1">
        <f t="array" ref="I49">IFERROR(
MIN(
_xlfn._xlws.FILTER(
--_xlfn.TEXTBEFORE(
SUBSTITUTE(
SUBSTITUTE(PRICING[Min Qty],"+"," "),
"-"," "
),
" "
),
(PRICING[SKU]=$A49)*
(PRICING[Set]=4)*
(PRICING[Rebate $]&lt;&gt;0)*
(PRICING[Rebate $]&lt;&gt;"")
)
),
0
)</f>
        <v>0</v>
      </c>
      <c r="J49" s="5" cm="1">
        <f t="array" ref="J49">SUM(
    SUMIFS(
        PRICING[Rebate $],
        PRICING[Program],
        {"EOP/ORN","ORN","EOP","NOW","LL/NOW","LL/SLP/NOW","LL/SLP/EOP"},
        PRICING[SKU],
        Rebate_Lookup[[#This Row],[SKU CODE]],
        PRICING[Set],
        1
    )
)</f>
        <v>20</v>
      </c>
      <c r="K49" s="5" cm="1">
        <f t="array" ref="K49">SUM(
    SUMIFS(
        PRICING[Rebate $],
        PRICING[Program],
        {"EOP/ORN","ORN","EOP","NOW","LL/NOW","LL/SLP/NOW","LL/SLP/EOP"},
        PRICING[SKU],
        Rebate_Lookup[[#This Row],[SKU CODE]],
        PRICING[Set],
        2
    )
)</f>
        <v>0</v>
      </c>
      <c r="L49" s="5" cm="1">
        <f t="array" ref="L49">SUM(
    SUMIFS(
        PRICING[Rebate $],
        PRICING[Program],
        {"EOP/ORN","ORN","EOP","NOW","LL/NOW","LL/SLP/NOW","LL/SLP/EOP"},
        PRICING[SKU],
        Rebate_Lookup[[#This Row],[SKU CODE]],
        PRICING[Set],
        3
    )
)</f>
        <v>0</v>
      </c>
      <c r="M49" s="5" cm="1">
        <f t="array" ref="M49">SUM(
    SUMIFS(
        PRICING[Rebate $],
        PRICING[Program],
        {"EOP/ORN","ORN","EOP","NOW","LL/NOW","LL/SLP/NOW","LL/SLP/EOP"},
        PRICING[SKU],
        Rebate_Lookup[[#This Row],[SKU CODE]],
        PRICING[Set],
        4
    )
)</f>
        <v>0</v>
      </c>
      <c r="N49" s="5">
        <f>INDEX(Estimates!H:H,MATCH(Rebate_Lookup[[#This Row],[SKU CODE]],Estimates!A:A,0))</f>
        <v>0</v>
      </c>
      <c r="O49"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49" s="5">
        <f>COUNTIF(Estimates!A:A,Rebate_Lookup[[#This Row],[SKU CODE]])</f>
        <v>1</v>
      </c>
      <c r="Q49" s="6" t="b">
        <f>IFERROR(Rebate_Lookup[[#This Row],[Order Form Quantity]]&gt;=Rebate_Lookup[[#This Row],[MOQ_2]],0)</f>
        <v>1</v>
      </c>
    </row>
    <row r="50" spans="1:17" x14ac:dyDescent="0.2">
      <c r="A50" s="168">
        <v>11003880</v>
      </c>
      <c r="B50" s="5" t="str">
        <f>INDEX(PRICING[Agency/TT],MATCH(Rebate_Lookup[[#This Row],[SKU CODE]],PRICING[SKU],0))</f>
        <v>A</v>
      </c>
      <c r="C50" s="5" t="str">
        <f>INDEX(PRICING[Product],MATCH(Rebate_Lookup[[#This Row],[SKU CODE]],PRICING[SKU],0))</f>
        <v xml:space="preserve">Rayora® Fungicide </v>
      </c>
      <c r="D50" s="5" t="str">
        <f>INDEX(PRICING[Size],MATCH(Rebate_Lookup[[#This Row],[SKU CODE]],PRICING[SKU],0))</f>
        <v>2.5 gal</v>
      </c>
      <c r="E50" s="5" cm="1">
        <f t="array" ref="E50">SUM(COUNTIFS(
    PRICING[Program],{"EOP/ORN","ORN","EOP","NOW","LL/NOW","LL/SLP/NOW","LL/SLP/EOP"},
    PRICING[SKU],A50
))</f>
        <v>2</v>
      </c>
      <c r="F50" s="5" cm="1">
        <f t="array" ref="F50">IFERROR(
MIN(
_xlfn._xlws.FILTER(
--_xlfn.TEXTBEFORE(
SUBSTITUTE(
SUBSTITUTE(PRICING[Min Qty],"+"," "),
"-"," "
),
" "
),
(PRICING[SKU]=$A50)*
(PRICING[Set]=1)*
(PRICING[Rebate $]&lt;&gt;0)*
(PRICING[Rebate $]&lt;&gt;"")
)
),
0
)</f>
        <v>0</v>
      </c>
      <c r="G50" s="5" cm="1">
        <f t="array" ref="G50">IFERROR(
MIN(
_xlfn._xlws.FILTER(
--_xlfn.TEXTBEFORE(
SUBSTITUTE(
SUBSTITUTE(PRICING[Min Qty],"+"," "),
"-"," "
),
" "
),
(PRICING[SKU]=$A50)*
(PRICING[Set]=2)*
(PRICING[Rebate $]&lt;&gt;0)*
(PRICING[Rebate $]&lt;&gt;"")
)
),
0
)</f>
        <v>6</v>
      </c>
      <c r="H50" s="5" cm="1">
        <f t="array" ref="H50">IFERROR(
MIN(
_xlfn._xlws.FILTER(
--_xlfn.TEXTBEFORE(
SUBSTITUTE(
SUBSTITUTE(PRICING[Min Qty],"+"," "),
"-"," "
),
" "
),
(PRICING[SKU]=$A50)*
(PRICING[Set]=3)*
(PRICING[Rebate $]&lt;&gt;0)*
(PRICING[Rebate $]&lt;&gt;"")
)
),
0
)</f>
        <v>0</v>
      </c>
      <c r="I50" s="5" cm="1">
        <f t="array" ref="I50">IFERROR(
MIN(
_xlfn._xlws.FILTER(
--_xlfn.TEXTBEFORE(
SUBSTITUTE(
SUBSTITUTE(PRICING[Min Qty],"+"," "),
"-"," "
),
" "
),
(PRICING[SKU]=$A50)*
(PRICING[Set]=4)*
(PRICING[Rebate $]&lt;&gt;0)*
(PRICING[Rebate $]&lt;&gt;"")
)
),
0
)</f>
        <v>0</v>
      </c>
      <c r="J50" s="5" cm="1">
        <f t="array" ref="J50">SUM(
    SUMIFS(
        PRICING[Rebate $],
        PRICING[Program],
        {"EOP/ORN","ORN","EOP","NOW","LL/NOW","LL/SLP/NOW","LL/SLP/EOP"},
        PRICING[SKU],
        Rebate_Lookup[[#This Row],[SKU CODE]],
        PRICING[Set],
        1
    )
)</f>
        <v>0</v>
      </c>
      <c r="K50" s="5" cm="1">
        <f t="array" ref="K50">SUM(
    SUMIFS(
        PRICING[Rebate $],
        PRICING[Program],
        {"EOP/ORN","ORN","EOP","NOW","LL/NOW","LL/SLP/NOW","LL/SLP/EOP"},
        PRICING[SKU],
        Rebate_Lookup[[#This Row],[SKU CODE]],
        PRICING[Set],
        2
    )
)</f>
        <v>162</v>
      </c>
      <c r="L50" s="5" cm="1">
        <f t="array" ref="L50">SUM(
    SUMIFS(
        PRICING[Rebate $],
        PRICING[Program],
        {"EOP/ORN","ORN","EOP","NOW","LL/NOW","LL/SLP/NOW","LL/SLP/EOP"},
        PRICING[SKU],
        Rebate_Lookup[[#This Row],[SKU CODE]],
        PRICING[Set],
        3
    )
)</f>
        <v>0</v>
      </c>
      <c r="M50" s="5" cm="1">
        <f t="array" ref="M50">SUM(
    SUMIFS(
        PRICING[Rebate $],
        PRICING[Program],
        {"EOP/ORN","ORN","EOP","NOW","LL/NOW","LL/SLP/NOW","LL/SLP/EOP"},
        PRICING[SKU],
        Rebate_Lookup[[#This Row],[SKU CODE]],
        PRICING[Set],
        4
    )
)</f>
        <v>0</v>
      </c>
      <c r="N50" s="5">
        <f>INDEX(Estimates!H:H,MATCH(Rebate_Lookup[[#This Row],[SKU CODE]],Estimates!A:A,0))</f>
        <v>0</v>
      </c>
      <c r="O50"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50" s="5">
        <f>COUNTIF(Estimates!A:A,Rebate_Lookup[[#This Row],[SKU CODE]])</f>
        <v>1</v>
      </c>
      <c r="Q50" s="6" t="b">
        <f>IFERROR(Rebate_Lookup[[#This Row],[Order Form Quantity]]&gt;=Rebate_Lookup[[#This Row],[MOQ_2]],0)</f>
        <v>0</v>
      </c>
    </row>
    <row r="51" spans="1:17" x14ac:dyDescent="0.2">
      <c r="A51" s="168" t="s">
        <v>66</v>
      </c>
      <c r="B51" s="5" t="str">
        <f>INDEX(PRICING[Agency/TT],MATCH(Rebate_Lookup[[#This Row],[SKU CODE]],PRICING[SKU],0))</f>
        <v>A</v>
      </c>
      <c r="C51" s="5" t="str">
        <f>INDEX(PRICING[Product],MATCH(Rebate_Lookup[[#This Row],[SKU CODE]],PRICING[SKU],0))</f>
        <v>Resilia®</v>
      </c>
      <c r="D51" s="5" t="str">
        <f>INDEX(PRICING[Size],MATCH(Rebate_Lookup[[#This Row],[SKU CODE]],PRICING[SKU],0))</f>
        <v>2.72 gal</v>
      </c>
      <c r="E51" s="5" cm="1">
        <f t="array" ref="E51">SUM(COUNTIFS(
    PRICING[Program],{"EOP/ORN","ORN","EOP","NOW","LL/NOW","LL/SLP/NOW","LL/SLP/EOP"},
    PRICING[SKU],A51
))</f>
        <v>3</v>
      </c>
      <c r="F51" s="5" cm="1">
        <f t="array" ref="F51">IFERROR(
MIN(
_xlfn._xlws.FILTER(
--_xlfn.TEXTBEFORE(
SUBSTITUTE(
SUBSTITUTE(PRICING[Min Qty],"+"," "),
"-"," "
),
" "
),
(PRICING[SKU]=$A51)*
(PRICING[Set]=1)*
(PRICING[Rebate $]&lt;&gt;0)*
(PRICING[Rebate $]&lt;&gt;"")
)
),
0
)</f>
        <v>0</v>
      </c>
      <c r="G51" s="5" cm="1">
        <f t="array" ref="G51">IFERROR(
MIN(
_xlfn._xlws.FILTER(
--_xlfn.TEXTBEFORE(
SUBSTITUTE(
SUBSTITUTE(PRICING[Min Qty],"+"," "),
"-"," "
),
" "
),
(PRICING[SKU]=$A51)*
(PRICING[Set]=2)*
(PRICING[Rebate $]&lt;&gt;0)*
(PRICING[Rebate $]&lt;&gt;"")
)
),
0
)</f>
        <v>4</v>
      </c>
      <c r="H51" s="5" cm="1">
        <f t="array" ref="H51">IFERROR(
MIN(
_xlfn._xlws.FILTER(
--_xlfn.TEXTBEFORE(
SUBSTITUTE(
SUBSTITUTE(PRICING[Min Qty],"+"," "),
"-"," "
),
" "
),
(PRICING[SKU]=$A51)*
(PRICING[Set]=3)*
(PRICING[Rebate $]&lt;&gt;0)*
(PRICING[Rebate $]&lt;&gt;"")
)
),
0
)</f>
        <v>15</v>
      </c>
      <c r="I51" s="5" cm="1">
        <f t="array" ref="I51">IFERROR(
MIN(
_xlfn._xlws.FILTER(
--_xlfn.TEXTBEFORE(
SUBSTITUTE(
SUBSTITUTE(PRICING[Min Qty],"+"," "),
"-"," "
),
" "
),
(PRICING[SKU]=$A51)*
(PRICING[Set]=4)*
(PRICING[Rebate $]&lt;&gt;0)*
(PRICING[Rebate $]&lt;&gt;"")
)
),
0
)</f>
        <v>0</v>
      </c>
      <c r="J51" s="5" cm="1">
        <f t="array" ref="J51">SUM(
    SUMIFS(
        PRICING[Rebate $],
        PRICING[Program],
        {"EOP/ORN","ORN","EOP","NOW","LL/NOW","LL/SLP/NOW","LL/SLP/EOP"},
        PRICING[SKU],
        Rebate_Lookup[[#This Row],[SKU CODE]],
        PRICING[Set],
        1
    )
)</f>
        <v>0</v>
      </c>
      <c r="K51" s="5" cm="1">
        <f t="array" ref="K51">SUM(
    SUMIFS(
        PRICING[Rebate $],
        PRICING[Program],
        {"EOP/ORN","ORN","EOP","NOW","LL/NOW","LL/SLP/NOW","LL/SLP/EOP"},
        PRICING[SKU],
        Rebate_Lookup[[#This Row],[SKU CODE]],
        PRICING[Set],
        2
    )
)</f>
        <v>50</v>
      </c>
      <c r="L51" s="5" cm="1">
        <f t="array" ref="L51">SUM(
    SUMIFS(
        PRICING[Rebate $],
        PRICING[Program],
        {"EOP/ORN","ORN","EOP","NOW","LL/NOW","LL/SLP/NOW","LL/SLP/EOP"},
        PRICING[SKU],
        Rebate_Lookup[[#This Row],[SKU CODE]],
        PRICING[Set],
        3
    )
)</f>
        <v>190</v>
      </c>
      <c r="M51" s="5" cm="1">
        <f t="array" ref="M51">SUM(
    SUMIFS(
        PRICING[Rebate $],
        PRICING[Program],
        {"EOP/ORN","ORN","EOP","NOW","LL/NOW","LL/SLP/NOW","LL/SLP/EOP"},
        PRICING[SKU],
        Rebate_Lookup[[#This Row],[SKU CODE]],
        PRICING[Set],
        4
    )
)</f>
        <v>0</v>
      </c>
      <c r="N51" s="5">
        <f>INDEX(Estimates!H:H,MATCH(Rebate_Lookup[[#This Row],[SKU CODE]],Estimates!A:A,0))</f>
        <v>0</v>
      </c>
      <c r="O51"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51" s="5">
        <f>COUNTIF(Estimates!A:A,Rebate_Lookup[[#This Row],[SKU CODE]])</f>
        <v>1</v>
      </c>
      <c r="Q51" s="6" t="b">
        <f>IFERROR(Rebate_Lookup[[#This Row],[Order Form Quantity]]&gt;=Rebate_Lookup[[#This Row],[MOQ_2]],0)</f>
        <v>0</v>
      </c>
    </row>
    <row r="52" spans="1:17" hidden="1" x14ac:dyDescent="0.2">
      <c r="A52" s="168">
        <v>79850980</v>
      </c>
      <c r="B52" s="5" t="str">
        <f>INDEX(PRICING[Agency/TT],MATCH(Rebate_Lookup[[#This Row],[SKU CODE]],PRICING[SKU],0))</f>
        <v>TT</v>
      </c>
      <c r="C52" s="5" t="str">
        <f>INDEX(PRICING[Product],MATCH(Rebate_Lookup[[#This Row],[SKU CODE]],PRICING[SKU],0))</f>
        <v>Revolver®</v>
      </c>
      <c r="D52" s="5" t="str">
        <f>INDEX(PRICING[Size],MATCH(Rebate_Lookup[[#This Row],[SKU CODE]],PRICING[SKU],0))</f>
        <v>32 fl oz</v>
      </c>
      <c r="E52" s="5" cm="1">
        <f t="array" ref="E52">SUM(COUNTIFS(
    PRICING[Program],{"EOP/ORN","ORN","EOP","NOW","LL/NOW","LL/SLP/NOW","LL/SLP/EOP"},
    PRICING[SKU],A52
))</f>
        <v>1</v>
      </c>
      <c r="F52" s="5" cm="1">
        <f t="array" ref="F52">IFERROR(
MIN(
_xlfn._xlws.FILTER(
--_xlfn.TEXTBEFORE(
SUBSTITUTE(
SUBSTITUTE(PRICING[Min Qty],"+"," "),
"-"," "
),
" "
),
(PRICING[SKU]=$A52)*
(PRICING[Set]=1)*
(PRICING[Rebate $]&lt;&gt;0)*
(PRICING[Rebate $]&lt;&gt;"")
)
),
0
)</f>
        <v>0</v>
      </c>
      <c r="G52" s="5" cm="1">
        <f t="array" ref="G52">IFERROR(
MIN(
_xlfn._xlws.FILTER(
--_xlfn.TEXTBEFORE(
SUBSTITUTE(
SUBSTITUTE(PRICING[Min Qty],"+"," "),
"-"," "
),
" "
),
(PRICING[SKU]=$A52)*
(PRICING[Set]=2)*
(PRICING[Rebate $]&lt;&gt;0)*
(PRICING[Rebate $]&lt;&gt;"")
)
),
0
)</f>
        <v>0</v>
      </c>
      <c r="H52" s="5" cm="1">
        <f t="array" ref="H52">IFERROR(
MIN(
_xlfn._xlws.FILTER(
--_xlfn.TEXTBEFORE(
SUBSTITUTE(
SUBSTITUTE(PRICING[Min Qty],"+"," "),
"-"," "
),
" "
),
(PRICING[SKU]=$A52)*
(PRICING[Set]=3)*
(PRICING[Rebate $]&lt;&gt;0)*
(PRICING[Rebate $]&lt;&gt;"")
)
),
0
)</f>
        <v>0</v>
      </c>
      <c r="I52" s="5" cm="1">
        <f t="array" ref="I52">IFERROR(
MIN(
_xlfn._xlws.FILTER(
--_xlfn.TEXTBEFORE(
SUBSTITUTE(
SUBSTITUTE(PRICING[Min Qty],"+"," "),
"-"," "
),
" "
),
(PRICING[SKU]=$A52)*
(PRICING[Set]=4)*
(PRICING[Rebate $]&lt;&gt;0)*
(PRICING[Rebate $]&lt;&gt;"")
)
),
0
)</f>
        <v>0</v>
      </c>
      <c r="J52" s="5" cm="1">
        <f t="array" ref="J52">SUM(
    SUMIFS(
        PRICING[Rebate $],
        PRICING[Program],
        {"EOP/ORN","ORN","EOP","NOW","LL/NOW","LL/SLP/NOW","LL/SLP/EOP"},
        PRICING[SKU],
        Rebate_Lookup[[#This Row],[SKU CODE]],
        PRICING[Set],
        1
    )
)</f>
        <v>25</v>
      </c>
      <c r="K52" s="5" cm="1">
        <f t="array" ref="K52">SUM(
    SUMIFS(
        PRICING[Rebate $],
        PRICING[Program],
        {"EOP/ORN","ORN","EOP","NOW","LL/NOW","LL/SLP/NOW","LL/SLP/EOP"},
        PRICING[SKU],
        Rebate_Lookup[[#This Row],[SKU CODE]],
        PRICING[Set],
        2
    )
)</f>
        <v>0</v>
      </c>
      <c r="L52" s="5" cm="1">
        <f t="array" ref="L52">SUM(
    SUMIFS(
        PRICING[Rebate $],
        PRICING[Program],
        {"EOP/ORN","ORN","EOP","NOW","LL/NOW","LL/SLP/NOW","LL/SLP/EOP"},
        PRICING[SKU],
        Rebate_Lookup[[#This Row],[SKU CODE]],
        PRICING[Set],
        3
    )
)</f>
        <v>0</v>
      </c>
      <c r="M52" s="5" cm="1">
        <f t="array" ref="M52">SUM(
    SUMIFS(
        PRICING[Rebate $],
        PRICING[Program],
        {"EOP/ORN","ORN","EOP","NOW","LL/NOW","LL/SLP/NOW","LL/SLP/EOP"},
        PRICING[SKU],
        Rebate_Lookup[[#This Row],[SKU CODE]],
        PRICING[Set],
        4
    )
)</f>
        <v>0</v>
      </c>
      <c r="N52" s="5">
        <f>INDEX(Estimates!H:H,MATCH(Rebate_Lookup[[#This Row],[SKU CODE]],Estimates!A:A,0))</f>
        <v>0</v>
      </c>
      <c r="O52"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52" s="5">
        <f>COUNTIF(Estimates!A:A,Rebate_Lookup[[#This Row],[SKU CODE]])</f>
        <v>1</v>
      </c>
      <c r="Q52" s="6" t="b">
        <f>IFERROR(Rebate_Lookup[[#This Row],[Order Form Quantity]]&gt;=Rebate_Lookup[[#This Row],[MOQ_2]],0)</f>
        <v>1</v>
      </c>
    </row>
    <row r="53" spans="1:17" x14ac:dyDescent="0.2">
      <c r="A53" s="168">
        <v>79545312</v>
      </c>
      <c r="B53" s="5" t="str">
        <f>INDEX(PRICING[Agency/TT],MATCH(Rebate_Lookup[[#This Row],[SKU CODE]],PRICING[SKU],0))</f>
        <v>A</v>
      </c>
      <c r="C53" s="5" t="str">
        <f>INDEX(PRICING[Product],MATCH(Rebate_Lookup[[#This Row],[SKU CODE]],PRICING[SKU],0))</f>
        <v>Revolver®</v>
      </c>
      <c r="D53" s="5" t="str">
        <f>INDEX(PRICING[Size],MATCH(Rebate_Lookup[[#This Row],[SKU CODE]],PRICING[SKU],0))</f>
        <v>87 fl oz</v>
      </c>
      <c r="E53" s="5" cm="1">
        <f t="array" ref="E53">SUM(COUNTIFS(
    PRICING[Program],{"EOP/ORN","ORN","EOP","NOW","LL/NOW","LL/SLP/NOW","LL/SLP/EOP"},
    PRICING[SKU],A53
))</f>
        <v>2</v>
      </c>
      <c r="F53" s="5" cm="1">
        <f t="array" ref="F53">IFERROR(
MIN(
_xlfn._xlws.FILTER(
--_xlfn.TEXTBEFORE(
SUBSTITUTE(
SUBSTITUTE(PRICING[Min Qty],"+"," "),
"-"," "
),
" "
),
(PRICING[SKU]=$A53)*
(PRICING[Set]=1)*
(PRICING[Rebate $]&lt;&gt;0)*
(PRICING[Rebate $]&lt;&gt;"")
)
),
0
)</f>
        <v>1</v>
      </c>
      <c r="G53" s="5" cm="1">
        <f t="array" ref="G53">IFERROR(
MIN(
_xlfn._xlws.FILTER(
--_xlfn.TEXTBEFORE(
SUBSTITUTE(
SUBSTITUTE(PRICING[Min Qty],"+"," "),
"-"," "
),
" "
),
(PRICING[SKU]=$A53)*
(PRICING[Set]=2)*
(PRICING[Rebate $]&lt;&gt;0)*
(PRICING[Rebate $]&lt;&gt;"")
)
),
0
)</f>
        <v>6</v>
      </c>
      <c r="H53" s="5" cm="1">
        <f t="array" ref="H53">IFERROR(
MIN(
_xlfn._xlws.FILTER(
--_xlfn.TEXTBEFORE(
SUBSTITUTE(
SUBSTITUTE(PRICING[Min Qty],"+"," "),
"-"," "
),
" "
),
(PRICING[SKU]=$A53)*
(PRICING[Set]=3)*
(PRICING[Rebate $]&lt;&gt;0)*
(PRICING[Rebate $]&lt;&gt;"")
)
),
0
)</f>
        <v>0</v>
      </c>
      <c r="I53" s="5" cm="1">
        <f t="array" ref="I53">IFERROR(
MIN(
_xlfn._xlws.FILTER(
--_xlfn.TEXTBEFORE(
SUBSTITUTE(
SUBSTITUTE(PRICING[Min Qty],"+"," "),
"-"," "
),
" "
),
(PRICING[SKU]=$A53)*
(PRICING[Set]=4)*
(PRICING[Rebate $]&lt;&gt;0)*
(PRICING[Rebate $]&lt;&gt;"")
)
),
0
)</f>
        <v>0</v>
      </c>
      <c r="J53" s="5" cm="1">
        <f t="array" ref="J53">SUM(
    SUMIFS(
        PRICING[Rebate $],
        PRICING[Program],
        {"EOP/ORN","ORN","EOP","NOW","LL/NOW","LL/SLP/NOW","LL/SLP/EOP"},
        PRICING[SKU],
        Rebate_Lookup[[#This Row],[SKU CODE]],
        PRICING[Set],
        1
    )
)</f>
        <v>40</v>
      </c>
      <c r="K53" s="5" cm="1">
        <f t="array" ref="K53">SUM(
    SUMIFS(
        PRICING[Rebate $],
        PRICING[Program],
        {"EOP/ORN","ORN","EOP","NOW","LL/NOW","LL/SLP/NOW","LL/SLP/EOP"},
        PRICING[SKU],
        Rebate_Lookup[[#This Row],[SKU CODE]],
        PRICING[Set],
        2
    )
)</f>
        <v>65</v>
      </c>
      <c r="L53" s="5" cm="1">
        <f t="array" ref="L53">SUM(
    SUMIFS(
        PRICING[Rebate $],
        PRICING[Program],
        {"EOP/ORN","ORN","EOP","NOW","LL/NOW","LL/SLP/NOW","LL/SLP/EOP"},
        PRICING[SKU],
        Rebate_Lookup[[#This Row],[SKU CODE]],
        PRICING[Set],
        3
    )
)</f>
        <v>0</v>
      </c>
      <c r="M53" s="5" cm="1">
        <f t="array" ref="M53">SUM(
    SUMIFS(
        PRICING[Rebate $],
        PRICING[Program],
        {"EOP/ORN","ORN","EOP","NOW","LL/NOW","LL/SLP/NOW","LL/SLP/EOP"},
        PRICING[SKU],
        Rebate_Lookup[[#This Row],[SKU CODE]],
        PRICING[Set],
        4
    )
)</f>
        <v>0</v>
      </c>
      <c r="N53" s="5">
        <f>INDEX(Estimates!H:H,MATCH(Rebate_Lookup[[#This Row],[SKU CODE]],Estimates!A:A,0))</f>
        <v>0</v>
      </c>
      <c r="O53" s="5"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53" s="5">
        <f>COUNTIF(Estimates!A:A,Rebate_Lookup[[#This Row],[SKU CODE]])</f>
        <v>1</v>
      </c>
      <c r="Q53" s="6" t="b">
        <f>IFERROR(Rebate_Lookup[[#This Row],[Order Form Quantity]]&gt;=Rebate_Lookup[[#This Row],[MOQ_2]],0)</f>
        <v>0</v>
      </c>
    </row>
    <row r="54" spans="1:17" x14ac:dyDescent="0.2">
      <c r="A54" s="168" t="s">
        <v>67</v>
      </c>
      <c r="B54" s="5" t="str">
        <f>INDEX(PRICING[Agency/TT],MATCH(Rebate_Lookup[[#This Row],[SKU CODE]],PRICING[SKU],0))</f>
        <v>A</v>
      </c>
      <c r="C54" s="5" t="str">
        <f>INDEX(PRICING[Product],MATCH(Rebate_Lookup[[#This Row],[SKU CODE]],PRICING[SKU],0))</f>
        <v xml:space="preserve">Ronstar® FLO </v>
      </c>
      <c r="D54" s="5" t="str">
        <f>INDEX(PRICING[Size],MATCH(Rebate_Lookup[[#This Row],[SKU CODE]],PRICING[SKU],0))</f>
        <v>2.5 gal</v>
      </c>
      <c r="E54" s="5" cm="1">
        <f t="array" ref="E54">SUM(COUNTIFS(
    PRICING[Program],{"EOP/ORN","ORN","EOP","NOW","LL/NOW","LL/SLP/NOW","LL/SLP/EOP"},
    PRICING[SKU],A54
))</f>
        <v>1</v>
      </c>
      <c r="F54" s="5" cm="1">
        <f t="array" ref="F54">IFERROR(
MIN(
_xlfn._xlws.FILTER(
--_xlfn.TEXTBEFORE(
SUBSTITUTE(
SUBSTITUTE(PRICING[Min Qty],"+"," "),
"-"," "
),
" "
),
(PRICING[SKU]=$A54)*
(PRICING[Set]=1)*
(PRICING[Rebate $]&lt;&gt;0)*
(PRICING[Rebate $]&lt;&gt;"")
)
),
0
)</f>
        <v>0</v>
      </c>
      <c r="G54" s="5" cm="1">
        <f t="array" ref="G54">IFERROR(
MIN(
_xlfn._xlws.FILTER(
--_xlfn.TEXTBEFORE(
SUBSTITUTE(
SUBSTITUTE(PRICING[Min Qty],"+"," "),
"-"," "
),
" "
),
(PRICING[SKU]=$A54)*
(PRICING[Set]=2)*
(PRICING[Rebate $]&lt;&gt;0)*
(PRICING[Rebate $]&lt;&gt;"")
)
),
0
)</f>
        <v>0</v>
      </c>
      <c r="H54" s="5" cm="1">
        <f t="array" ref="H54">IFERROR(
MIN(
_xlfn._xlws.FILTER(
--_xlfn.TEXTBEFORE(
SUBSTITUTE(
SUBSTITUTE(PRICING[Min Qty],"+"," "),
"-"," "
),
" "
),
(PRICING[SKU]=$A54)*
(PRICING[Set]=3)*
(PRICING[Rebate $]&lt;&gt;0)*
(PRICING[Rebate $]&lt;&gt;"")
)
),
0
)</f>
        <v>0</v>
      </c>
      <c r="I54" s="5" cm="1">
        <f t="array" ref="I54">IFERROR(
MIN(
_xlfn._xlws.FILTER(
--_xlfn.TEXTBEFORE(
SUBSTITUTE(
SUBSTITUTE(PRICING[Min Qty],"+"," "),
"-"," "
),
" "
),
(PRICING[SKU]=$A54)*
(PRICING[Set]=4)*
(PRICING[Rebate $]&lt;&gt;0)*
(PRICING[Rebate $]&lt;&gt;"")
)
),
0
)</f>
        <v>0</v>
      </c>
      <c r="J54" s="5" cm="1">
        <f t="array" ref="J54">SUM(
    SUMIFS(
        PRICING[Rebate $],
        PRICING[Program],
        {"EOP/ORN","ORN","EOP","NOW","LL/NOW","LL/SLP/NOW","LL/SLP/EOP"},
        PRICING[SKU],
        Rebate_Lookup[[#This Row],[SKU CODE]],
        PRICING[Set],
        1
    )
)</f>
        <v>0</v>
      </c>
      <c r="K54" s="5" cm="1">
        <f t="array" ref="K54">SUM(
    SUMIFS(
        PRICING[Rebate $],
        PRICING[Program],
        {"EOP/ORN","ORN","EOP","NOW","LL/NOW","LL/SLP/NOW","LL/SLP/EOP"},
        PRICING[SKU],
        Rebate_Lookup[[#This Row],[SKU CODE]],
        PRICING[Set],
        2
    )
)</f>
        <v>0</v>
      </c>
      <c r="L54" s="5" cm="1">
        <f t="array" ref="L54">SUM(
    SUMIFS(
        PRICING[Rebate $],
        PRICING[Program],
        {"EOP/ORN","ORN","EOP","NOW","LL/NOW","LL/SLP/NOW","LL/SLP/EOP"},
        PRICING[SKU],
        Rebate_Lookup[[#This Row],[SKU CODE]],
        PRICING[Set],
        3
    )
)</f>
        <v>0</v>
      </c>
      <c r="M54" s="5" cm="1">
        <f t="array" ref="M54">SUM(
    SUMIFS(
        PRICING[Rebate $],
        PRICING[Program],
        {"EOP/ORN","ORN","EOP","NOW","LL/NOW","LL/SLP/NOW","LL/SLP/EOP"},
        PRICING[SKU],
        Rebate_Lookup[[#This Row],[SKU CODE]],
        PRICING[Set],
        4
    )
)</f>
        <v>0</v>
      </c>
      <c r="N54" s="5">
        <f>INDEX(Estimates!H:H,MATCH(Rebate_Lookup[[#This Row],[SKU CODE]],Estimates!A:A,0))</f>
        <v>0</v>
      </c>
      <c r="O54"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54" s="5">
        <f>COUNTIF(Estimates!A:A,Rebate_Lookup[[#This Row],[SKU CODE]])</f>
        <v>1</v>
      </c>
      <c r="Q54" s="6" t="b">
        <f>IFERROR(Rebate_Lookup[[#This Row],[Order Form Quantity]]&gt;=Rebate_Lookup[[#This Row],[MOQ_2]],0)</f>
        <v>1</v>
      </c>
    </row>
    <row r="55" spans="1:17" x14ac:dyDescent="0.2">
      <c r="A55" s="168" t="s">
        <v>68</v>
      </c>
      <c r="B55" s="5" t="str">
        <f>INDEX(PRICING[Agency/TT],MATCH(Rebate_Lookup[[#This Row],[SKU CODE]],PRICING[SKU],0))</f>
        <v>A</v>
      </c>
      <c r="C55" s="5" t="str">
        <f>INDEX(PRICING[Product],MATCH(Rebate_Lookup[[#This Row],[SKU CODE]],PRICING[SKU],0))</f>
        <v xml:space="preserve">Ronstar® FLO </v>
      </c>
      <c r="D55" s="5" t="str">
        <f>INDEX(PRICING[Size],MATCH(Rebate_Lookup[[#This Row],[SKU CODE]],PRICING[SKU],0))</f>
        <v>2.5 gal</v>
      </c>
      <c r="E55" s="5" cm="1">
        <f t="array" ref="E55">SUM(COUNTIFS(
    PRICING[Program],{"EOP/ORN","ORN","EOP","NOW","LL/NOW","LL/SLP/NOW","LL/SLP/EOP"},
    PRICING[SKU],A55
))</f>
        <v>1</v>
      </c>
      <c r="F55" s="5" cm="1">
        <f t="array" ref="F55">IFERROR(
MIN(
_xlfn._xlws.FILTER(
--_xlfn.TEXTBEFORE(
SUBSTITUTE(
SUBSTITUTE(PRICING[Min Qty],"+"," "),
"-"," "
),
" "
),
(PRICING[SKU]=$A55)*
(PRICING[Set]=1)*
(PRICING[Rebate $]&lt;&gt;0)*
(PRICING[Rebate $]&lt;&gt;"")
)
),
0
)</f>
        <v>0</v>
      </c>
      <c r="G55" s="5" cm="1">
        <f t="array" ref="G55">IFERROR(
MIN(
_xlfn._xlws.FILTER(
--_xlfn.TEXTBEFORE(
SUBSTITUTE(
SUBSTITUTE(PRICING[Min Qty],"+"," "),
"-"," "
),
" "
),
(PRICING[SKU]=$A55)*
(PRICING[Set]=2)*
(PRICING[Rebate $]&lt;&gt;0)*
(PRICING[Rebate $]&lt;&gt;"")
)
),
0
)</f>
        <v>0</v>
      </c>
      <c r="H55" s="5" cm="1">
        <f t="array" ref="H55">IFERROR(
MIN(
_xlfn._xlws.FILTER(
--_xlfn.TEXTBEFORE(
SUBSTITUTE(
SUBSTITUTE(PRICING[Min Qty],"+"," "),
"-"," "
),
" "
),
(PRICING[SKU]=$A55)*
(PRICING[Set]=3)*
(PRICING[Rebate $]&lt;&gt;0)*
(PRICING[Rebate $]&lt;&gt;"")
)
),
0
)</f>
        <v>0</v>
      </c>
      <c r="I55" s="5" cm="1">
        <f t="array" ref="I55">IFERROR(
MIN(
_xlfn._xlws.FILTER(
--_xlfn.TEXTBEFORE(
SUBSTITUTE(
SUBSTITUTE(PRICING[Min Qty],"+"," "),
"-"," "
),
" "
),
(PRICING[SKU]=$A55)*
(PRICING[Set]=4)*
(PRICING[Rebate $]&lt;&gt;0)*
(PRICING[Rebate $]&lt;&gt;"")
)
),
0
)</f>
        <v>0</v>
      </c>
      <c r="J55" s="5" cm="1">
        <f t="array" ref="J55">SUM(
    SUMIFS(
        PRICING[Rebate $],
        PRICING[Program],
        {"EOP/ORN","ORN","EOP","NOW","LL/NOW","LL/SLP/NOW","LL/SLP/EOP"},
        PRICING[SKU],
        Rebate_Lookup[[#This Row],[SKU CODE]],
        PRICING[Set],
        1
    )
)</f>
        <v>0</v>
      </c>
      <c r="K55" s="5" cm="1">
        <f t="array" ref="K55">SUM(
    SUMIFS(
        PRICING[Rebate $],
        PRICING[Program],
        {"EOP/ORN","ORN","EOP","NOW","LL/NOW","LL/SLP/NOW","LL/SLP/EOP"},
        PRICING[SKU],
        Rebate_Lookup[[#This Row],[SKU CODE]],
        PRICING[Set],
        2
    )
)</f>
        <v>0</v>
      </c>
      <c r="L55" s="5" cm="1">
        <f t="array" ref="L55">SUM(
    SUMIFS(
        PRICING[Rebate $],
        PRICING[Program],
        {"EOP/ORN","ORN","EOP","NOW","LL/NOW","LL/SLP/NOW","LL/SLP/EOP"},
        PRICING[SKU],
        Rebate_Lookup[[#This Row],[SKU CODE]],
        PRICING[Set],
        3
    )
)</f>
        <v>0</v>
      </c>
      <c r="M55" s="5" cm="1">
        <f t="array" ref="M55">SUM(
    SUMIFS(
        PRICING[Rebate $],
        PRICING[Program],
        {"EOP/ORN","ORN","EOP","NOW","LL/NOW","LL/SLP/NOW","LL/SLP/EOP"},
        PRICING[SKU],
        Rebate_Lookup[[#This Row],[SKU CODE]],
        PRICING[Set],
        4
    )
)</f>
        <v>0</v>
      </c>
      <c r="N55" s="5">
        <f>INDEX(Estimates!H:H,MATCH(Rebate_Lookup[[#This Row],[SKU CODE]],Estimates!A:A,0))</f>
        <v>0</v>
      </c>
      <c r="O55"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55" s="5">
        <f>COUNTIF(Estimates!A:A,Rebate_Lookup[[#This Row],[SKU CODE]])</f>
        <v>1</v>
      </c>
      <c r="Q55" s="6" t="b">
        <f>IFERROR(Rebate_Lookup[[#This Row],[Order Form Quantity]]&gt;=Rebate_Lookup[[#This Row],[MOQ_2]],0)</f>
        <v>1</v>
      </c>
    </row>
    <row r="56" spans="1:17" x14ac:dyDescent="0.2">
      <c r="A56" s="168" t="s">
        <v>69</v>
      </c>
      <c r="B56" s="5" t="str">
        <f>INDEX(PRICING[Agency/TT],MATCH(Rebate_Lookup[[#This Row],[SKU CODE]],PRICING[SKU],0))</f>
        <v>A</v>
      </c>
      <c r="C56" s="5" t="str">
        <f>INDEX(PRICING[Product],MATCH(Rebate_Lookup[[#This Row],[SKU CODE]],PRICING[SKU],0))</f>
        <v xml:space="preserve">Ronstar® FLO </v>
      </c>
      <c r="D56" s="5" t="str">
        <f>INDEX(PRICING[Size],MATCH(Rebate_Lookup[[#This Row],[SKU CODE]],PRICING[SKU],0))</f>
        <v>2.5 gal</v>
      </c>
      <c r="E56" s="5" cm="1">
        <f t="array" ref="E56">SUM(COUNTIFS(
    PRICING[Program],{"EOP/ORN","ORN","EOP","NOW","LL/NOW","LL/SLP/NOW","LL/SLP/EOP"},
    PRICING[SKU],A56
))</f>
        <v>1</v>
      </c>
      <c r="F56" s="5" cm="1">
        <f t="array" ref="F56">IFERROR(
MIN(
_xlfn._xlws.FILTER(
--_xlfn.TEXTBEFORE(
SUBSTITUTE(
SUBSTITUTE(PRICING[Min Qty],"+"," "),
"-"," "
),
" "
),
(PRICING[SKU]=$A56)*
(PRICING[Set]=1)*
(PRICING[Rebate $]&lt;&gt;0)*
(PRICING[Rebate $]&lt;&gt;"")
)
),
0
)</f>
        <v>0</v>
      </c>
      <c r="G56" s="5" cm="1">
        <f t="array" ref="G56">IFERROR(
MIN(
_xlfn._xlws.FILTER(
--_xlfn.TEXTBEFORE(
SUBSTITUTE(
SUBSTITUTE(PRICING[Min Qty],"+"," "),
"-"," "
),
" "
),
(PRICING[SKU]=$A56)*
(PRICING[Set]=2)*
(PRICING[Rebate $]&lt;&gt;0)*
(PRICING[Rebate $]&lt;&gt;"")
)
),
0
)</f>
        <v>0</v>
      </c>
      <c r="H56" s="5" cm="1">
        <f t="array" ref="H56">IFERROR(
MIN(
_xlfn._xlws.FILTER(
--_xlfn.TEXTBEFORE(
SUBSTITUTE(
SUBSTITUTE(PRICING[Min Qty],"+"," "),
"-"," "
),
" "
),
(PRICING[SKU]=$A56)*
(PRICING[Set]=3)*
(PRICING[Rebate $]&lt;&gt;0)*
(PRICING[Rebate $]&lt;&gt;"")
)
),
0
)</f>
        <v>0</v>
      </c>
      <c r="I56" s="5" cm="1">
        <f t="array" ref="I56">IFERROR(
MIN(
_xlfn._xlws.FILTER(
--_xlfn.TEXTBEFORE(
SUBSTITUTE(
SUBSTITUTE(PRICING[Min Qty],"+"," "),
"-"," "
),
" "
),
(PRICING[SKU]=$A56)*
(PRICING[Set]=4)*
(PRICING[Rebate $]&lt;&gt;0)*
(PRICING[Rebate $]&lt;&gt;"")
)
),
0
)</f>
        <v>0</v>
      </c>
      <c r="J56" s="5" cm="1">
        <f t="array" ref="J56">SUM(
    SUMIFS(
        PRICING[Rebate $],
        PRICING[Program],
        {"EOP/ORN","ORN","EOP","NOW","LL/NOW","LL/SLP/NOW","LL/SLP/EOP"},
        PRICING[SKU],
        Rebate_Lookup[[#This Row],[SKU CODE]],
        PRICING[Set],
        1
    )
)</f>
        <v>0</v>
      </c>
      <c r="K56" s="5" cm="1">
        <f t="array" ref="K56">SUM(
    SUMIFS(
        PRICING[Rebate $],
        PRICING[Program],
        {"EOP/ORN","ORN","EOP","NOW","LL/NOW","LL/SLP/NOW","LL/SLP/EOP"},
        PRICING[SKU],
        Rebate_Lookup[[#This Row],[SKU CODE]],
        PRICING[Set],
        2
    )
)</f>
        <v>0</v>
      </c>
      <c r="L56" s="5" cm="1">
        <f t="array" ref="L56">SUM(
    SUMIFS(
        PRICING[Rebate $],
        PRICING[Program],
        {"EOP/ORN","ORN","EOP","NOW","LL/NOW","LL/SLP/NOW","LL/SLP/EOP"},
        PRICING[SKU],
        Rebate_Lookup[[#This Row],[SKU CODE]],
        PRICING[Set],
        3
    )
)</f>
        <v>0</v>
      </c>
      <c r="M56" s="5" cm="1">
        <f t="array" ref="M56">SUM(
    SUMIFS(
        PRICING[Rebate $],
        PRICING[Program],
        {"EOP/ORN","ORN","EOP","NOW","LL/NOW","LL/SLP/NOW","LL/SLP/EOP"},
        PRICING[SKU],
        Rebate_Lookup[[#This Row],[SKU CODE]],
        PRICING[Set],
        4
    )
)</f>
        <v>0</v>
      </c>
      <c r="N56" s="5">
        <f>INDEX(Estimates!H:H,MATCH(Rebate_Lookup[[#This Row],[SKU CODE]],Estimates!A:A,0))</f>
        <v>0</v>
      </c>
      <c r="O56"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56" s="5">
        <f>COUNTIF(Estimates!A:A,Rebate_Lookup[[#This Row],[SKU CODE]])</f>
        <v>1</v>
      </c>
      <c r="Q56" s="6" t="b">
        <f>IFERROR(Rebate_Lookup[[#This Row],[Order Form Quantity]]&gt;=Rebate_Lookup[[#This Row],[MOQ_2]],0)</f>
        <v>1</v>
      </c>
    </row>
    <row r="57" spans="1:17" hidden="1" x14ac:dyDescent="0.2">
      <c r="A57" s="168">
        <v>427709</v>
      </c>
      <c r="B57" s="5" t="str">
        <f>INDEX(PRICING[Agency/TT],MATCH(Rebate_Lookup[[#This Row],[SKU CODE]],PRICING[SKU],0))</f>
        <v>TT</v>
      </c>
      <c r="C57" s="5" t="str">
        <f>INDEX(PRICING[Product],MATCH(Rebate_Lookup[[#This Row],[SKU CODE]],PRICING[SKU],0))</f>
        <v>Sencor 75</v>
      </c>
      <c r="D57" s="5" t="str">
        <f>INDEX(PRICING[Size],MATCH(Rebate_Lookup[[#This Row],[SKU CODE]],PRICING[SKU],0))</f>
        <v>5 lb</v>
      </c>
      <c r="E57" s="5" cm="1">
        <f t="array" ref="E57">SUM(COUNTIFS(
    PRICING[Program],{"EOP/ORN","ORN","EOP","NOW","LL/NOW","LL/SLP/NOW","LL/SLP/EOP"},
    PRICING[SKU],A57
))</f>
        <v>1</v>
      </c>
      <c r="F57" s="5" cm="1">
        <f t="array" ref="F57">IFERROR(
MIN(
_xlfn._xlws.FILTER(
--_xlfn.TEXTBEFORE(
SUBSTITUTE(
SUBSTITUTE(PRICING[Min Qty],"+"," "),
"-"," "
),
" "
),
(PRICING[SKU]=$A57)*
(PRICING[Set]=1)*
(PRICING[Rebate $]&lt;&gt;0)*
(PRICING[Rebate $]&lt;&gt;"")
)
),
0
)</f>
        <v>0</v>
      </c>
      <c r="G57" s="5" cm="1">
        <f t="array" ref="G57">IFERROR(
MIN(
_xlfn._xlws.FILTER(
--_xlfn.TEXTBEFORE(
SUBSTITUTE(
SUBSTITUTE(PRICING[Min Qty],"+"," "),
"-"," "
),
" "
),
(PRICING[SKU]=$A57)*
(PRICING[Set]=2)*
(PRICING[Rebate $]&lt;&gt;0)*
(PRICING[Rebate $]&lt;&gt;"")
)
),
0
)</f>
        <v>0</v>
      </c>
      <c r="H57" s="5" cm="1">
        <f t="array" ref="H57">IFERROR(
MIN(
_xlfn._xlws.FILTER(
--_xlfn.TEXTBEFORE(
SUBSTITUTE(
SUBSTITUTE(PRICING[Min Qty],"+"," "),
"-"," "
),
" "
),
(PRICING[SKU]=$A57)*
(PRICING[Set]=3)*
(PRICING[Rebate $]&lt;&gt;0)*
(PRICING[Rebate $]&lt;&gt;"")
)
),
0
)</f>
        <v>0</v>
      </c>
      <c r="I57" s="5" cm="1">
        <f t="array" ref="I57">IFERROR(
MIN(
_xlfn._xlws.FILTER(
--_xlfn.TEXTBEFORE(
SUBSTITUTE(
SUBSTITUTE(PRICING[Min Qty],"+"," "),
"-"," "
),
" "
),
(PRICING[SKU]=$A57)*
(PRICING[Set]=4)*
(PRICING[Rebate $]&lt;&gt;0)*
(PRICING[Rebate $]&lt;&gt;"")
)
),
0
)</f>
        <v>0</v>
      </c>
      <c r="J57" s="5" cm="1">
        <f t="array" ref="J57">SUM(
    SUMIFS(
        PRICING[Rebate $],
        PRICING[Program],
        {"EOP/ORN","ORN","EOP","NOW","LL/NOW","LL/SLP/NOW","LL/SLP/EOP"},
        PRICING[SKU],
        Rebate_Lookup[[#This Row],[SKU CODE]],
        PRICING[Set],
        1
    )
)</f>
        <v>0</v>
      </c>
      <c r="K57" s="5" cm="1">
        <f t="array" ref="K57">SUM(
    SUMIFS(
        PRICING[Rebate $],
        PRICING[Program],
        {"EOP/ORN","ORN","EOP","NOW","LL/NOW","LL/SLP/NOW","LL/SLP/EOP"},
        PRICING[SKU],
        Rebate_Lookup[[#This Row],[SKU CODE]],
        PRICING[Set],
        2
    )
)</f>
        <v>0</v>
      </c>
      <c r="L57" s="5" cm="1">
        <f t="array" ref="L57">SUM(
    SUMIFS(
        PRICING[Rebate $],
        PRICING[Program],
        {"EOP/ORN","ORN","EOP","NOW","LL/NOW","LL/SLP/NOW","LL/SLP/EOP"},
        PRICING[SKU],
        Rebate_Lookup[[#This Row],[SKU CODE]],
        PRICING[Set],
        3
    )
)</f>
        <v>0</v>
      </c>
      <c r="M57" s="5" cm="1">
        <f t="array" ref="M57">SUM(
    SUMIFS(
        PRICING[Rebate $],
        PRICING[Program],
        {"EOP/ORN","ORN","EOP","NOW","LL/NOW","LL/SLP/NOW","LL/SLP/EOP"},
        PRICING[SKU],
        Rebate_Lookup[[#This Row],[SKU CODE]],
        PRICING[Set],
        4
    )
)</f>
        <v>0</v>
      </c>
      <c r="N57" s="5">
        <f>INDEX(Estimates!H:H,MATCH(Rebate_Lookup[[#This Row],[SKU CODE]],Estimates!A:A,0))</f>
        <v>0</v>
      </c>
      <c r="O57"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57" s="5">
        <f>COUNTIF(Estimates!A:A,Rebate_Lookup[[#This Row],[SKU CODE]])</f>
        <v>1</v>
      </c>
      <c r="Q57" s="6" t="b">
        <f>IFERROR(Rebate_Lookup[[#This Row],[Order Form Quantity]]&gt;=Rebate_Lookup[[#This Row],[MOQ_2]],0)</f>
        <v>1</v>
      </c>
    </row>
    <row r="58" spans="1:17" x14ac:dyDescent="0.2">
      <c r="A58" s="168">
        <v>11014245</v>
      </c>
      <c r="B58" s="5" t="str">
        <f>INDEX(PRICING[Agency/TT],MATCH(Rebate_Lookup[[#This Row],[SKU CODE]],PRICING[SKU],0))</f>
        <v>A</v>
      </c>
      <c r="C58" s="5" t="str">
        <f>INDEX(PRICING[Product],MATCH(Rebate_Lookup[[#This Row],[SKU CODE]],PRICING[SKU],0))</f>
        <v xml:space="preserve">Serata® Fungicide </v>
      </c>
      <c r="D58" s="5" t="str">
        <f>INDEX(PRICING[Size],MATCH(Rebate_Lookup[[#This Row],[SKU CODE]],PRICING[SKU],0))</f>
        <v>35 oz</v>
      </c>
      <c r="E58" s="5" cm="1">
        <f t="array" ref="E58">SUM(COUNTIFS(
    PRICING[Program],{"EOP/ORN","ORN","EOP","NOW","LL/NOW","LL/SLP/NOW","LL/SLP/EOP"},
    PRICING[SKU],A58
))</f>
        <v>2</v>
      </c>
      <c r="F58" s="5" cm="1">
        <f t="array" ref="F58">IFERROR(
MIN(
_xlfn._xlws.FILTER(
--_xlfn.TEXTBEFORE(
SUBSTITUTE(
SUBSTITUTE(PRICING[Min Qty],"+"," "),
"-"," "
),
" "
),
(PRICING[SKU]=$A58)*
(PRICING[Set]=1)*
(PRICING[Rebate $]&lt;&gt;0)*
(PRICING[Rebate $]&lt;&gt;"")
)
),
0
)</f>
        <v>1</v>
      </c>
      <c r="G58" s="5" cm="1">
        <f t="array" ref="G58">IFERROR(
MIN(
_xlfn._xlws.FILTER(
--_xlfn.TEXTBEFORE(
SUBSTITUTE(
SUBSTITUTE(PRICING[Min Qty],"+"," "),
"-"," "
),
" "
),
(PRICING[SKU]=$A58)*
(PRICING[Set]=2)*
(PRICING[Rebate $]&lt;&gt;0)*
(PRICING[Rebate $]&lt;&gt;"")
)
),
0
)</f>
        <v>8</v>
      </c>
      <c r="H58" s="5" cm="1">
        <f t="array" ref="H58">IFERROR(
MIN(
_xlfn._xlws.FILTER(
--_xlfn.TEXTBEFORE(
SUBSTITUTE(
SUBSTITUTE(PRICING[Min Qty],"+"," "),
"-"," "
),
" "
),
(PRICING[SKU]=$A58)*
(PRICING[Set]=3)*
(PRICING[Rebate $]&lt;&gt;0)*
(PRICING[Rebate $]&lt;&gt;"")
)
),
0
)</f>
        <v>0</v>
      </c>
      <c r="I58" s="5" cm="1">
        <f t="array" ref="I58">IFERROR(
MIN(
_xlfn._xlws.FILTER(
--_xlfn.TEXTBEFORE(
SUBSTITUTE(
SUBSTITUTE(PRICING[Min Qty],"+"," "),
"-"," "
),
" "
),
(PRICING[SKU]=$A58)*
(PRICING[Set]=4)*
(PRICING[Rebate $]&lt;&gt;0)*
(PRICING[Rebate $]&lt;&gt;"")
)
),
0
)</f>
        <v>0</v>
      </c>
      <c r="J58" s="5" cm="1">
        <f t="array" ref="J58">SUM(
    SUMIFS(
        PRICING[Rebate $],
        PRICING[Program],
        {"EOP/ORN","ORN","EOP","NOW","LL/NOW","LL/SLP/NOW","LL/SLP/EOP"},
        PRICING[SKU],
        Rebate_Lookup[[#This Row],[SKU CODE]],
        PRICING[Set],
        1
    )
)</f>
        <v>5</v>
      </c>
      <c r="K58" s="5" cm="1">
        <f t="array" ref="K58">SUM(
    SUMIFS(
        PRICING[Rebate $],
        PRICING[Program],
        {"EOP/ORN","ORN","EOP","NOW","LL/NOW","LL/SLP/NOW","LL/SLP/EOP"},
        PRICING[SKU],
        Rebate_Lookup[[#This Row],[SKU CODE]],
        PRICING[Set],
        2
    )
)</f>
        <v>25</v>
      </c>
      <c r="L58" s="5" cm="1">
        <f t="array" ref="L58">SUM(
    SUMIFS(
        PRICING[Rebate $],
        PRICING[Program],
        {"EOP/ORN","ORN","EOP","NOW","LL/NOW","LL/SLP/NOW","LL/SLP/EOP"},
        PRICING[SKU],
        Rebate_Lookup[[#This Row],[SKU CODE]],
        PRICING[Set],
        3
    )
)</f>
        <v>0</v>
      </c>
      <c r="M58" s="5" cm="1">
        <f t="array" ref="M58">SUM(
    SUMIFS(
        PRICING[Rebate $],
        PRICING[Program],
        {"EOP/ORN","ORN","EOP","NOW","LL/NOW","LL/SLP/NOW","LL/SLP/EOP"},
        PRICING[SKU],
        Rebate_Lookup[[#This Row],[SKU CODE]],
        PRICING[Set],
        4
    )
)</f>
        <v>0</v>
      </c>
      <c r="N58" s="5">
        <f>INDEX(Estimates!H:H,MATCH(Rebate_Lookup[[#This Row],[SKU CODE]],Estimates!A:A,0))</f>
        <v>0</v>
      </c>
      <c r="O58" s="5"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58" s="5">
        <f>COUNTIF(Estimates!A:A,Rebate_Lookup[[#This Row],[SKU CODE]])</f>
        <v>1</v>
      </c>
      <c r="Q58" s="6" t="b">
        <f>IFERROR(Rebate_Lookup[[#This Row],[Order Form Quantity]]&gt;=Rebate_Lookup[[#This Row],[MOQ_2]],0)</f>
        <v>0</v>
      </c>
    </row>
    <row r="59" spans="1:17" x14ac:dyDescent="0.2">
      <c r="A59" s="168" t="s">
        <v>70</v>
      </c>
      <c r="B59" s="5" t="str">
        <f>INDEX(PRICING[Agency/TT],MATCH(Rebate_Lookup[[#This Row],[SKU CODE]],PRICING[SKU],0))</f>
        <v>A</v>
      </c>
      <c r="C59" s="5" t="str">
        <f>INDEX(PRICING[Product],MATCH(Rebate_Lookup[[#This Row],[SKU CODE]],PRICING[SKU],0))</f>
        <v xml:space="preserve">Signature™ XTRA Stressgard® </v>
      </c>
      <c r="D59" s="5" t="str">
        <f>INDEX(PRICING[Size],MATCH(Rebate_Lookup[[#This Row],[SKU CODE]],PRICING[SKU],0))</f>
        <v>5.5 lb</v>
      </c>
      <c r="E59" s="5" cm="1">
        <f t="array" ref="E59">SUM(COUNTIFS(
    PRICING[Program],{"EOP/ORN","ORN","EOP","NOW","LL/NOW","LL/SLP/NOW","LL/SLP/EOP"},
    PRICING[SKU],A59
))</f>
        <v>2</v>
      </c>
      <c r="F59" s="5" cm="1">
        <f t="array" ref="F59">IFERROR(
MIN(
_xlfn._xlws.FILTER(
--_xlfn.TEXTBEFORE(
SUBSTITUTE(
SUBSTITUTE(PRICING[Min Qty],"+"," "),
"-"," "
),
" "
),
(PRICING[SKU]=$A59)*
(PRICING[Set]=1)*
(PRICING[Rebate $]&lt;&gt;0)*
(PRICING[Rebate $]&lt;&gt;"")
)
),
0
)</f>
        <v>1</v>
      </c>
      <c r="G59" s="5" cm="1">
        <f t="array" ref="G59">IFERROR(
MIN(
_xlfn._xlws.FILTER(
--_xlfn.TEXTBEFORE(
SUBSTITUTE(
SUBSTITUTE(PRICING[Min Qty],"+"," "),
"-"," "
),
" "
),
(PRICING[SKU]=$A59)*
(PRICING[Set]=2)*
(PRICING[Rebate $]&lt;&gt;0)*
(PRICING[Rebate $]&lt;&gt;"")
)
),
0
)</f>
        <v>24</v>
      </c>
      <c r="H59" s="5" cm="1">
        <f t="array" ref="H59">IFERROR(
MIN(
_xlfn._xlws.FILTER(
--_xlfn.TEXTBEFORE(
SUBSTITUTE(
SUBSTITUTE(PRICING[Min Qty],"+"," "),
"-"," "
),
" "
),
(PRICING[SKU]=$A59)*
(PRICING[Set]=3)*
(PRICING[Rebate $]&lt;&gt;0)*
(PRICING[Rebate $]&lt;&gt;"")
)
),
0
)</f>
        <v>0</v>
      </c>
      <c r="I59" s="5" cm="1">
        <f t="array" ref="I59">IFERROR(
MIN(
_xlfn._xlws.FILTER(
--_xlfn.TEXTBEFORE(
SUBSTITUTE(
SUBSTITUTE(PRICING[Min Qty],"+"," "),
"-"," "
),
" "
),
(PRICING[SKU]=$A59)*
(PRICING[Set]=4)*
(PRICING[Rebate $]&lt;&gt;0)*
(PRICING[Rebate $]&lt;&gt;"")
)
),
0
)</f>
        <v>0</v>
      </c>
      <c r="J59" s="5" cm="1">
        <f t="array" ref="J59">SUM(
    SUMIFS(
        PRICING[Rebate $],
        PRICING[Program],
        {"EOP/ORN","ORN","EOP","NOW","LL/NOW","LL/SLP/NOW","LL/SLP/EOP"},
        PRICING[SKU],
        Rebate_Lookup[[#This Row],[SKU CODE]],
        PRICING[Set],
        1
    )
)</f>
        <v>4</v>
      </c>
      <c r="K59" s="5" cm="1">
        <f t="array" ref="K59">SUM(
    SUMIFS(
        PRICING[Rebate $],
        PRICING[Program],
        {"EOP/ORN","ORN","EOP","NOW","LL/NOW","LL/SLP/NOW","LL/SLP/EOP"},
        PRICING[SKU],
        Rebate_Lookup[[#This Row],[SKU CODE]],
        PRICING[Set],
        2
    )
)</f>
        <v>12</v>
      </c>
      <c r="L59" s="5" cm="1">
        <f t="array" ref="L59">SUM(
    SUMIFS(
        PRICING[Rebate $],
        PRICING[Program],
        {"EOP/ORN","ORN","EOP","NOW","LL/NOW","LL/SLP/NOW","LL/SLP/EOP"},
        PRICING[SKU],
        Rebate_Lookup[[#This Row],[SKU CODE]],
        PRICING[Set],
        3
    )
)</f>
        <v>0</v>
      </c>
      <c r="M59" s="5" cm="1">
        <f t="array" ref="M59">SUM(
    SUMIFS(
        PRICING[Rebate $],
        PRICING[Program],
        {"EOP/ORN","ORN","EOP","NOW","LL/NOW","LL/SLP/NOW","LL/SLP/EOP"},
        PRICING[SKU],
        Rebate_Lookup[[#This Row],[SKU CODE]],
        PRICING[Set],
        4
    )
)</f>
        <v>0</v>
      </c>
      <c r="N59" s="5">
        <f>INDEX(Estimates!H:H,MATCH(Rebate_Lookup[[#This Row],[SKU CODE]],Estimates!A:A,0))</f>
        <v>0</v>
      </c>
      <c r="O59" s="5"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59" s="5">
        <f>COUNTIF(Estimates!A:A,Rebate_Lookup[[#This Row],[SKU CODE]])</f>
        <v>1</v>
      </c>
      <c r="Q59" s="6" t="b">
        <f>IFERROR(Rebate_Lookup[[#This Row],[Order Form Quantity]]&gt;=Rebate_Lookup[[#This Row],[MOQ_2]],0)</f>
        <v>0</v>
      </c>
    </row>
    <row r="60" spans="1:17" x14ac:dyDescent="0.2">
      <c r="A60" s="165" t="s">
        <v>71</v>
      </c>
      <c r="B60" s="5" t="str">
        <f>INDEX(PRICING[Agency/TT],MATCH(Rebate_Lookup[[#This Row],[SKU CODE]],PRICING[SKU],0))</f>
        <v>A</v>
      </c>
      <c r="C60" s="5" t="str">
        <f>INDEX(PRICING[Product],MATCH(Rebate_Lookup[[#This Row],[SKU CODE]],PRICING[SKU],0))</f>
        <v>Signature™ XTRA Stressgard® Liquid</v>
      </c>
      <c r="D60" s="5" t="str">
        <f>INDEX(PRICING[Size],MATCH(Rebate_Lookup[[#This Row],[SKU CODE]],PRICING[SKU],0))</f>
        <v>98 oz</v>
      </c>
      <c r="E60" s="5" cm="1">
        <f t="array" ref="E60">SUM(COUNTIFS(
    PRICING[Program],{"EOP/ORN","ORN","EOP","NOW","LL/NOW","LL/SLP/NOW","LL/SLP/EOP"},
    PRICING[SKU],A60
))</f>
        <v>2</v>
      </c>
      <c r="F60" s="5" cm="1">
        <f t="array" ref="F60">IFERROR(
MIN(
_xlfn._xlws.FILTER(
--_xlfn.TEXTBEFORE(
SUBSTITUTE(
SUBSTITUTE(PRICING[Min Qty],"+"," "),
"-"," "
),
" "
),
(PRICING[SKU]=$A60)*
(PRICING[Set]=1)*
(PRICING[Rebate $]&lt;&gt;0)*
(PRICING[Rebate $]&lt;&gt;"")
)
),
0
)</f>
        <v>1</v>
      </c>
      <c r="G60" s="5" cm="1">
        <f t="array" ref="G60">IFERROR(
MIN(
_xlfn._xlws.FILTER(
--_xlfn.TEXTBEFORE(
SUBSTITUTE(
SUBSTITUTE(PRICING[Min Qty],"+"," "),
"-"," "
),
" "
),
(PRICING[SKU]=$A60)*
(PRICING[Set]=2)*
(PRICING[Rebate $]&lt;&gt;0)*
(PRICING[Rebate $]&lt;&gt;"")
)
),
0
)</f>
        <v>24</v>
      </c>
      <c r="H60" s="5" cm="1">
        <f t="array" ref="H60">IFERROR(
MIN(
_xlfn._xlws.FILTER(
--_xlfn.TEXTBEFORE(
SUBSTITUTE(
SUBSTITUTE(PRICING[Min Qty],"+"," "),
"-"," "
),
" "
),
(PRICING[SKU]=$A60)*
(PRICING[Set]=3)*
(PRICING[Rebate $]&lt;&gt;0)*
(PRICING[Rebate $]&lt;&gt;"")
)
),
0
)</f>
        <v>0</v>
      </c>
      <c r="I60" s="5" cm="1">
        <f t="array" ref="I60">IFERROR(
MIN(
_xlfn._xlws.FILTER(
--_xlfn.TEXTBEFORE(
SUBSTITUTE(
SUBSTITUTE(PRICING[Min Qty],"+"," "),
"-"," "
),
" "
),
(PRICING[SKU]=$A60)*
(PRICING[Set]=4)*
(PRICING[Rebate $]&lt;&gt;0)*
(PRICING[Rebate $]&lt;&gt;"")
)
),
0
)</f>
        <v>0</v>
      </c>
      <c r="J60" s="5" cm="1">
        <f t="array" ref="J60">SUM(
    SUMIFS(
        PRICING[Rebate $],
        PRICING[Program],
        {"EOP/ORN","ORN","EOP","NOW","LL/NOW","LL/SLP/NOW","LL/SLP/EOP"},
        PRICING[SKU],
        Rebate_Lookup[[#This Row],[SKU CODE]],
        PRICING[Set],
        1
    )
)</f>
        <v>4</v>
      </c>
      <c r="K60" s="5" cm="1">
        <f t="array" ref="K60">SUM(
    SUMIFS(
        PRICING[Rebate $],
        PRICING[Program],
        {"EOP/ORN","ORN","EOP","NOW","LL/NOW","LL/SLP/NOW","LL/SLP/EOP"},
        PRICING[SKU],
        Rebate_Lookup[[#This Row],[SKU CODE]],
        PRICING[Set],
        2
    )
)</f>
        <v>12</v>
      </c>
      <c r="L60" s="5" cm="1">
        <f t="array" ref="L60">SUM(
    SUMIFS(
        PRICING[Rebate $],
        PRICING[Program],
        {"EOP/ORN","ORN","EOP","NOW","LL/NOW","LL/SLP/NOW","LL/SLP/EOP"},
        PRICING[SKU],
        Rebate_Lookup[[#This Row],[SKU CODE]],
        PRICING[Set],
        3
    )
)</f>
        <v>0</v>
      </c>
      <c r="M60" s="5" cm="1">
        <f t="array" ref="M60">SUM(
    SUMIFS(
        PRICING[Rebate $],
        PRICING[Program],
        {"EOP/ORN","ORN","EOP","NOW","LL/NOW","LL/SLP/NOW","LL/SLP/EOP"},
        PRICING[SKU],
        Rebate_Lookup[[#This Row],[SKU CODE]],
        PRICING[Set],
        4
    )
)</f>
        <v>0</v>
      </c>
      <c r="N60" s="5">
        <f>INDEX(Estimates!H:H,MATCH(Rebate_Lookup[[#This Row],[SKU CODE]],Estimates!A:A,0))</f>
        <v>0</v>
      </c>
      <c r="O60" s="5"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60" s="5">
        <f>COUNTIF(Estimates!A:A,Rebate_Lookup[[#This Row],[SKU CODE]])</f>
        <v>1</v>
      </c>
      <c r="Q60" s="6" t="b">
        <f>IFERROR(Rebate_Lookup[[#This Row],[Order Form Quantity]]&gt;=Rebate_Lookup[[#This Row],[MOQ_2]],0)</f>
        <v>0</v>
      </c>
    </row>
    <row r="61" spans="1:17" hidden="1" x14ac:dyDescent="0.2">
      <c r="A61" s="168">
        <v>11008482</v>
      </c>
      <c r="B61" s="5" t="str">
        <f>INDEX(PRICING[Agency/TT],MATCH(Rebate_Lookup[[#This Row],[SKU CODE]],PRICING[SKU],0))</f>
        <v>TT</v>
      </c>
      <c r="C61" s="5" t="str">
        <f>INDEX(PRICING[Product],MATCH(Rebate_Lookup[[#This Row],[SKU CODE]],PRICING[SKU],0))</f>
        <v xml:space="preserve">Solitare® Herbicide </v>
      </c>
      <c r="D61" s="5" t="str">
        <f>INDEX(PRICING[Size],MATCH(Rebate_Lookup[[#This Row],[SKU CODE]],PRICING[SKU],0))</f>
        <v xml:space="preserve">1 lb </v>
      </c>
      <c r="E61" s="5" cm="1">
        <f t="array" ref="E61">SUM(COUNTIFS(
    PRICING[Program],{"EOP/ORN","ORN","EOP","NOW","LL/NOW","LL/SLP/NOW","LL/SLP/EOP"},
    PRICING[SKU],A61
))</f>
        <v>1</v>
      </c>
      <c r="F61" s="5" cm="1">
        <f t="array" ref="F61">IFERROR(
MIN(
_xlfn._xlws.FILTER(
--_xlfn.TEXTBEFORE(
SUBSTITUTE(
SUBSTITUTE(PRICING[Min Qty],"+"," "),
"-"," "
),
" "
),
(PRICING[SKU]=$A61)*
(PRICING[Set]=1)*
(PRICING[Rebate $]&lt;&gt;0)*
(PRICING[Rebate $]&lt;&gt;"")
)
),
0
)</f>
        <v>0</v>
      </c>
      <c r="G61" s="5" cm="1">
        <f t="array" ref="G61">IFERROR(
MIN(
_xlfn._xlws.FILTER(
--_xlfn.TEXTBEFORE(
SUBSTITUTE(
SUBSTITUTE(PRICING[Min Qty],"+"," "),
"-"," "
),
" "
),
(PRICING[SKU]=$A61)*
(PRICING[Set]=2)*
(PRICING[Rebate $]&lt;&gt;0)*
(PRICING[Rebate $]&lt;&gt;"")
)
),
0
)</f>
        <v>0</v>
      </c>
      <c r="H61" s="5" cm="1">
        <f t="array" ref="H61">IFERROR(
MIN(
_xlfn._xlws.FILTER(
--_xlfn.TEXTBEFORE(
SUBSTITUTE(
SUBSTITUTE(PRICING[Min Qty],"+"," "),
"-"," "
),
" "
),
(PRICING[SKU]=$A61)*
(PRICING[Set]=3)*
(PRICING[Rebate $]&lt;&gt;0)*
(PRICING[Rebate $]&lt;&gt;"")
)
),
0
)</f>
        <v>0</v>
      </c>
      <c r="I61" s="5" cm="1">
        <f t="array" ref="I61">IFERROR(
MIN(
_xlfn._xlws.FILTER(
--_xlfn.TEXTBEFORE(
SUBSTITUTE(
SUBSTITUTE(PRICING[Min Qty],"+"," "),
"-"," "
),
" "
),
(PRICING[SKU]=$A61)*
(PRICING[Set]=4)*
(PRICING[Rebate $]&lt;&gt;0)*
(PRICING[Rebate $]&lt;&gt;"")
)
),
0
)</f>
        <v>0</v>
      </c>
      <c r="J61" s="5" cm="1">
        <f t="array" ref="J61">SUM(
    SUMIFS(
        PRICING[Rebate $],
        PRICING[Program],
        {"EOP/ORN","ORN","EOP","NOW","LL/NOW","LL/SLP/NOW","LL/SLP/EOP"},
        PRICING[SKU],
        Rebate_Lookup[[#This Row],[SKU CODE]],
        PRICING[Set],
        1
    )
)</f>
        <v>8</v>
      </c>
      <c r="K61" s="5" cm="1">
        <f t="array" ref="K61">SUM(
    SUMIFS(
        PRICING[Rebate $],
        PRICING[Program],
        {"EOP/ORN","ORN","EOP","NOW","LL/NOW","LL/SLP/NOW","LL/SLP/EOP"},
        PRICING[SKU],
        Rebate_Lookup[[#This Row],[SKU CODE]],
        PRICING[Set],
        2
    )
)</f>
        <v>0</v>
      </c>
      <c r="L61" s="5" cm="1">
        <f t="array" ref="L61">SUM(
    SUMIFS(
        PRICING[Rebate $],
        PRICING[Program],
        {"EOP/ORN","ORN","EOP","NOW","LL/NOW","LL/SLP/NOW","LL/SLP/EOP"},
        PRICING[SKU],
        Rebate_Lookup[[#This Row],[SKU CODE]],
        PRICING[Set],
        3
    )
)</f>
        <v>0</v>
      </c>
      <c r="M61" s="5" cm="1">
        <f t="array" ref="M61">SUM(
    SUMIFS(
        PRICING[Rebate $],
        PRICING[Program],
        {"EOP/ORN","ORN","EOP","NOW","LL/NOW","LL/SLP/NOW","LL/SLP/EOP"},
        PRICING[SKU],
        Rebate_Lookup[[#This Row],[SKU CODE]],
        PRICING[Set],
        4
    )
)</f>
        <v>0</v>
      </c>
      <c r="N61" s="5">
        <f>INDEX(Estimates!H:H,MATCH(Rebate_Lookup[[#This Row],[SKU CODE]],Estimates!A:A,0))</f>
        <v>0</v>
      </c>
      <c r="O61"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61" s="5">
        <f>COUNTIF(Estimates!A:A,Rebate_Lookup[[#This Row],[SKU CODE]])</f>
        <v>1</v>
      </c>
      <c r="Q61" s="6" t="b">
        <f>IFERROR(Rebate_Lookup[[#This Row],[Order Form Quantity]]&gt;=Rebate_Lookup[[#This Row],[MOQ_2]],0)</f>
        <v>1</v>
      </c>
    </row>
    <row r="62" spans="1:17" x14ac:dyDescent="0.2">
      <c r="A62" s="168">
        <v>11008522</v>
      </c>
      <c r="B62" s="5" t="str">
        <f>INDEX(PRICING[Agency/TT],MATCH(Rebate_Lookup[[#This Row],[SKU CODE]],PRICING[SKU],0))</f>
        <v>A</v>
      </c>
      <c r="C62" s="5" t="str">
        <f>INDEX(PRICING[Product],MATCH(Rebate_Lookup[[#This Row],[SKU CODE]],PRICING[SKU],0))</f>
        <v xml:space="preserve">Solitare® Herbicide </v>
      </c>
      <c r="D62" s="5" t="str">
        <f>INDEX(PRICING[Size],MATCH(Rebate_Lookup[[#This Row],[SKU CODE]],PRICING[SKU],0))</f>
        <v>4 lb</v>
      </c>
      <c r="E62" s="5" cm="1">
        <f t="array" ref="E62">SUM(COUNTIFS(
    PRICING[Program],{"EOP/ORN","ORN","EOP","NOW","LL/NOW","LL/SLP/NOW","LL/SLP/EOP"},
    PRICING[SKU],A62
))</f>
        <v>2</v>
      </c>
      <c r="F62" s="5" cm="1">
        <f t="array" ref="F62">IFERROR(
MIN(
_xlfn._xlws.FILTER(
--_xlfn.TEXTBEFORE(
SUBSTITUTE(
SUBSTITUTE(PRICING[Min Qty],"+"," "),
"-"," "
),
" "
),
(PRICING[SKU]=$A62)*
(PRICING[Set]=1)*
(PRICING[Rebate $]&lt;&gt;0)*
(PRICING[Rebate $]&lt;&gt;"")
)
),
0
)</f>
        <v>0</v>
      </c>
      <c r="G62" s="5" cm="1">
        <f t="array" ref="G62">IFERROR(
MIN(
_xlfn._xlws.FILTER(
--_xlfn.TEXTBEFORE(
SUBSTITUTE(
SUBSTITUTE(PRICING[Min Qty],"+"," "),
"-"," "
),
" "
),
(PRICING[SKU]=$A62)*
(PRICING[Set]=2)*
(PRICING[Rebate $]&lt;&gt;0)*
(PRICING[Rebate $]&lt;&gt;"")
)
),
0
)</f>
        <v>8</v>
      </c>
      <c r="H62" s="5" cm="1">
        <f t="array" ref="H62">IFERROR(
MIN(
_xlfn._xlws.FILTER(
--_xlfn.TEXTBEFORE(
SUBSTITUTE(
SUBSTITUTE(PRICING[Min Qty],"+"," "),
"-"," "
),
" "
),
(PRICING[SKU]=$A62)*
(PRICING[Set]=3)*
(PRICING[Rebate $]&lt;&gt;0)*
(PRICING[Rebate $]&lt;&gt;"")
)
),
0
)</f>
        <v>0</v>
      </c>
      <c r="I62" s="5" cm="1">
        <f t="array" ref="I62">IFERROR(
MIN(
_xlfn._xlws.FILTER(
--_xlfn.TEXTBEFORE(
SUBSTITUTE(
SUBSTITUTE(PRICING[Min Qty],"+"," "),
"-"," "
),
" "
),
(PRICING[SKU]=$A62)*
(PRICING[Set]=4)*
(PRICING[Rebate $]&lt;&gt;0)*
(PRICING[Rebate $]&lt;&gt;"")
)
),
0
)</f>
        <v>0</v>
      </c>
      <c r="J62" s="5" cm="1">
        <f t="array" ref="J62">SUM(
    SUMIFS(
        PRICING[Rebate $],
        PRICING[Program],
        {"EOP/ORN","ORN","EOP","NOW","LL/NOW","LL/SLP/NOW","LL/SLP/EOP"},
        PRICING[SKU],
        Rebate_Lookup[[#This Row],[SKU CODE]],
        PRICING[Set],
        1
    )
)</f>
        <v>0</v>
      </c>
      <c r="K62" s="5" cm="1">
        <f t="array" ref="K62">SUM(
    SUMIFS(
        PRICING[Rebate $],
        PRICING[Program],
        {"EOP/ORN","ORN","EOP","NOW","LL/NOW","LL/SLP/NOW","LL/SLP/EOP"},
        PRICING[SKU],
        Rebate_Lookup[[#This Row],[SKU CODE]],
        PRICING[Set],
        2
    )
)</f>
        <v>32</v>
      </c>
      <c r="L62" s="5" cm="1">
        <f t="array" ref="L62">SUM(
    SUMIFS(
        PRICING[Rebate $],
        PRICING[Program],
        {"EOP/ORN","ORN","EOP","NOW","LL/NOW","LL/SLP/NOW","LL/SLP/EOP"},
        PRICING[SKU],
        Rebate_Lookup[[#This Row],[SKU CODE]],
        PRICING[Set],
        3
    )
)</f>
        <v>0</v>
      </c>
      <c r="M62" s="5" cm="1">
        <f t="array" ref="M62">SUM(
    SUMIFS(
        PRICING[Rebate $],
        PRICING[Program],
        {"EOP/ORN","ORN","EOP","NOW","LL/NOW","LL/SLP/NOW","LL/SLP/EOP"},
        PRICING[SKU],
        Rebate_Lookup[[#This Row],[SKU CODE]],
        PRICING[Set],
        4
    )
)</f>
        <v>0</v>
      </c>
      <c r="N62" s="5">
        <f>INDEX(Estimates!H:H,MATCH(Rebate_Lookup[[#This Row],[SKU CODE]],Estimates!A:A,0))</f>
        <v>0</v>
      </c>
      <c r="O62"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62" s="5">
        <f>COUNTIF(Estimates!A:A,Rebate_Lookup[[#This Row],[SKU CODE]])</f>
        <v>1</v>
      </c>
      <c r="Q62" s="6" t="b">
        <f>IFERROR(Rebate_Lookup[[#This Row],[Order Form Quantity]]&gt;=Rebate_Lookup[[#This Row],[MOQ_2]],0)</f>
        <v>0</v>
      </c>
    </row>
    <row r="63" spans="1:17" hidden="1" x14ac:dyDescent="0.2">
      <c r="A63" s="168">
        <v>11008369</v>
      </c>
      <c r="B63" s="5" t="str">
        <f>INDEX(PRICING[Agency/TT],MATCH(Rebate_Lookup[[#This Row],[SKU CODE]],PRICING[SKU],0))</f>
        <v>TT</v>
      </c>
      <c r="C63" s="5" t="str">
        <f>INDEX(PRICING[Product],MATCH(Rebate_Lookup[[#This Row],[SKU CODE]],PRICING[SKU],0))</f>
        <v>Solitare® WSL Herbicide</v>
      </c>
      <c r="D63" s="5" t="str">
        <f>INDEX(PRICING[Size],MATCH(Rebate_Lookup[[#This Row],[SKU CODE]],PRICING[SKU],0))</f>
        <v xml:space="preserve">0.75 gal </v>
      </c>
      <c r="E63" s="5" cm="1">
        <f t="array" ref="E63">SUM(COUNTIFS(
    PRICING[Program],{"EOP/ORN","ORN","EOP","NOW","LL/NOW","LL/SLP/NOW","LL/SLP/EOP"},
    PRICING[SKU],A63
))</f>
        <v>1</v>
      </c>
      <c r="F63" s="5" cm="1">
        <f t="array" ref="F63">IFERROR(
MIN(
_xlfn._xlws.FILTER(
--_xlfn.TEXTBEFORE(
SUBSTITUTE(
SUBSTITUTE(PRICING[Min Qty],"+"," "),
"-"," "
),
" "
),
(PRICING[SKU]=$A63)*
(PRICING[Set]=1)*
(PRICING[Rebate $]&lt;&gt;0)*
(PRICING[Rebate $]&lt;&gt;"")
)
),
0
)</f>
        <v>0</v>
      </c>
      <c r="G63" s="5" cm="1">
        <f t="array" ref="G63">IFERROR(
MIN(
_xlfn._xlws.FILTER(
--_xlfn.TEXTBEFORE(
SUBSTITUTE(
SUBSTITUTE(PRICING[Min Qty],"+"," "),
"-"," "
),
" "
),
(PRICING[SKU]=$A63)*
(PRICING[Set]=2)*
(PRICING[Rebate $]&lt;&gt;0)*
(PRICING[Rebate $]&lt;&gt;"")
)
),
0
)</f>
        <v>0</v>
      </c>
      <c r="H63" s="5" cm="1">
        <f t="array" ref="H63">IFERROR(
MIN(
_xlfn._xlws.FILTER(
--_xlfn.TEXTBEFORE(
SUBSTITUTE(
SUBSTITUTE(PRICING[Min Qty],"+"," "),
"-"," "
),
" "
),
(PRICING[SKU]=$A63)*
(PRICING[Set]=3)*
(PRICING[Rebate $]&lt;&gt;0)*
(PRICING[Rebate $]&lt;&gt;"")
)
),
0
)</f>
        <v>0</v>
      </c>
      <c r="I63" s="5" cm="1">
        <f t="array" ref="I63">IFERROR(
MIN(
_xlfn._xlws.FILTER(
--_xlfn.TEXTBEFORE(
SUBSTITUTE(
SUBSTITUTE(PRICING[Min Qty],"+"," "),
"-"," "
),
" "
),
(PRICING[SKU]=$A63)*
(PRICING[Set]=4)*
(PRICING[Rebate $]&lt;&gt;0)*
(PRICING[Rebate $]&lt;&gt;"")
)
),
0
)</f>
        <v>0</v>
      </c>
      <c r="J63" s="5" cm="1">
        <f t="array" ref="J63">SUM(
    SUMIFS(
        PRICING[Rebate $],
        PRICING[Program],
        {"EOP/ORN","ORN","EOP","NOW","LL/NOW","LL/SLP/NOW","LL/SLP/EOP"},
        PRICING[SKU],
        Rebate_Lookup[[#This Row],[SKU CODE]],
        PRICING[Set],
        1
    )
)</f>
        <v>8</v>
      </c>
      <c r="K63" s="5" cm="1">
        <f t="array" ref="K63">SUM(
    SUMIFS(
        PRICING[Rebate $],
        PRICING[Program],
        {"EOP/ORN","ORN","EOP","NOW","LL/NOW","LL/SLP/NOW","LL/SLP/EOP"},
        PRICING[SKU],
        Rebate_Lookup[[#This Row],[SKU CODE]],
        PRICING[Set],
        2
    )
)</f>
        <v>0</v>
      </c>
      <c r="L63" s="5" cm="1">
        <f t="array" ref="L63">SUM(
    SUMIFS(
        PRICING[Rebate $],
        PRICING[Program],
        {"EOP/ORN","ORN","EOP","NOW","LL/NOW","LL/SLP/NOW","LL/SLP/EOP"},
        PRICING[SKU],
        Rebate_Lookup[[#This Row],[SKU CODE]],
        PRICING[Set],
        3
    )
)</f>
        <v>0</v>
      </c>
      <c r="M63" s="5" cm="1">
        <f t="array" ref="M63">SUM(
    SUMIFS(
        PRICING[Rebate $],
        PRICING[Program],
        {"EOP/ORN","ORN","EOP","NOW","LL/NOW","LL/SLP/NOW","LL/SLP/EOP"},
        PRICING[SKU],
        Rebate_Lookup[[#This Row],[SKU CODE]],
        PRICING[Set],
        4
    )
)</f>
        <v>0</v>
      </c>
      <c r="N63" s="5">
        <f>INDEX(Estimates!H:H,MATCH(Rebate_Lookup[[#This Row],[SKU CODE]],Estimates!A:A,0))</f>
        <v>0</v>
      </c>
      <c r="O63"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63" s="5">
        <f>COUNTIF(Estimates!A:A,Rebate_Lookup[[#This Row],[SKU CODE]])</f>
        <v>1</v>
      </c>
      <c r="Q63" s="6" t="b">
        <f>IFERROR(Rebate_Lookup[[#This Row],[Order Form Quantity]]&gt;=Rebate_Lookup[[#This Row],[MOQ_2]],0)</f>
        <v>1</v>
      </c>
    </row>
    <row r="64" spans="1:17" x14ac:dyDescent="0.2">
      <c r="A64" s="168">
        <v>11013862</v>
      </c>
      <c r="B64" s="5" t="str">
        <f>INDEX(PRICING[Agency/TT],MATCH(Rebate_Lookup[[#This Row],[SKU CODE]],PRICING[SKU],0))</f>
        <v>A</v>
      </c>
      <c r="C64" s="5" t="str">
        <f>INDEX(PRICING[Product],MATCH(Rebate_Lookup[[#This Row],[SKU CODE]],PRICING[SKU],0))</f>
        <v>Solitare® WSL Herbicide</v>
      </c>
      <c r="D64" s="5" t="str">
        <f>INDEX(PRICING[Size],MATCH(Rebate_Lookup[[#This Row],[SKU CODE]],PRICING[SKU],0))</f>
        <v>2.5 gal</v>
      </c>
      <c r="E64" s="5" cm="1">
        <f t="array" ref="E64">SUM(COUNTIFS(
    PRICING[Program],{"EOP/ORN","ORN","EOP","NOW","LL/NOW","LL/SLP/NOW","LL/SLP/EOP"},
    PRICING[SKU],A64
))</f>
        <v>1</v>
      </c>
      <c r="F64" s="5" cm="1">
        <f t="array" ref="F64">IFERROR(
MIN(
_xlfn._xlws.FILTER(
--_xlfn.TEXTBEFORE(
SUBSTITUTE(
SUBSTITUTE(PRICING[Min Qty],"+"," "),
"-"," "
),
" "
),
(PRICING[SKU]=$A64)*
(PRICING[Set]=1)*
(PRICING[Rebate $]&lt;&gt;0)*
(PRICING[Rebate $]&lt;&gt;"")
)
),
0
)</f>
        <v>1</v>
      </c>
      <c r="G64" s="5" cm="1">
        <f t="array" ref="G64">IFERROR(
MIN(
_xlfn._xlws.FILTER(
--_xlfn.TEXTBEFORE(
SUBSTITUTE(
SUBSTITUTE(PRICING[Min Qty],"+"," "),
"-"," "
),
" "
),
(PRICING[SKU]=$A64)*
(PRICING[Set]=2)*
(PRICING[Rebate $]&lt;&gt;0)*
(PRICING[Rebate $]&lt;&gt;"")
)
),
0
)</f>
        <v>0</v>
      </c>
      <c r="H64" s="5" cm="1">
        <f t="array" ref="H64">IFERROR(
MIN(
_xlfn._xlws.FILTER(
--_xlfn.TEXTBEFORE(
SUBSTITUTE(
SUBSTITUTE(PRICING[Min Qty],"+"," "),
"-"," "
),
" "
),
(PRICING[SKU]=$A64)*
(PRICING[Set]=3)*
(PRICING[Rebate $]&lt;&gt;0)*
(PRICING[Rebate $]&lt;&gt;"")
)
),
0
)</f>
        <v>0</v>
      </c>
      <c r="I64" s="5" cm="1">
        <f t="array" ref="I64">IFERROR(
MIN(
_xlfn._xlws.FILTER(
--_xlfn.TEXTBEFORE(
SUBSTITUTE(
SUBSTITUTE(PRICING[Min Qty],"+"," "),
"-"," "
),
" "
),
(PRICING[SKU]=$A64)*
(PRICING[Set]=4)*
(PRICING[Rebate $]&lt;&gt;0)*
(PRICING[Rebate $]&lt;&gt;"")
)
),
0
)</f>
        <v>0</v>
      </c>
      <c r="J64" s="5" cm="1">
        <f t="array" ref="J64">SUM(
    SUMIFS(
        PRICING[Rebate $],
        PRICING[Program],
        {"EOP/ORN","ORN","EOP","NOW","LL/NOW","LL/SLP/NOW","LL/SLP/EOP"},
        PRICING[SKU],
        Rebate_Lookup[[#This Row],[SKU CODE]],
        PRICING[Set],
        1
    )
)</f>
        <v>10</v>
      </c>
      <c r="K64" s="5" cm="1">
        <f t="array" ref="K64">SUM(
    SUMIFS(
        PRICING[Rebate $],
        PRICING[Program],
        {"EOP/ORN","ORN","EOP","NOW","LL/NOW","LL/SLP/NOW","LL/SLP/EOP"},
        PRICING[SKU],
        Rebate_Lookup[[#This Row],[SKU CODE]],
        PRICING[Set],
        2
    )
)</f>
        <v>0</v>
      </c>
      <c r="L64" s="5" cm="1">
        <f t="array" ref="L64">SUM(
    SUMIFS(
        PRICING[Rebate $],
        PRICING[Program],
        {"EOP/ORN","ORN","EOP","NOW","LL/NOW","LL/SLP/NOW","LL/SLP/EOP"},
        PRICING[SKU],
        Rebate_Lookup[[#This Row],[SKU CODE]],
        PRICING[Set],
        3
    )
)</f>
        <v>0</v>
      </c>
      <c r="M64" s="5" cm="1">
        <f t="array" ref="M64">SUM(
    SUMIFS(
        PRICING[Rebate $],
        PRICING[Program],
        {"EOP/ORN","ORN","EOP","NOW","LL/NOW","LL/SLP/NOW","LL/SLP/EOP"},
        PRICING[SKU],
        Rebate_Lookup[[#This Row],[SKU CODE]],
        PRICING[Set],
        4
    )
)</f>
        <v>0</v>
      </c>
      <c r="N64" s="5">
        <f>INDEX(Estimates!H:H,MATCH(Rebate_Lookup[[#This Row],[SKU CODE]],Estimates!A:A,0))</f>
        <v>0</v>
      </c>
      <c r="O64" s="5"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64" s="5">
        <f>COUNTIF(Estimates!A:A,Rebate_Lookup[[#This Row],[SKU CODE]])</f>
        <v>1</v>
      </c>
      <c r="Q64" s="6" t="b">
        <f>IFERROR(Rebate_Lookup[[#This Row],[Order Form Quantity]]&gt;=Rebate_Lookup[[#This Row],[MOQ_2]],0)</f>
        <v>1</v>
      </c>
    </row>
    <row r="65" spans="1:17" x14ac:dyDescent="0.2">
      <c r="A65" s="168" t="s">
        <v>72</v>
      </c>
      <c r="B65" s="5" t="str">
        <f>INDEX(PRICING[Agency/TT],MATCH(Rebate_Lookup[[#This Row],[SKU CODE]],PRICING[SKU],0))</f>
        <v>A</v>
      </c>
      <c r="C65" s="5" t="str">
        <f>INDEX(PRICING[Product],MATCH(Rebate_Lookup[[#This Row],[SKU CODE]],PRICING[SKU],0))</f>
        <v xml:space="preserve">Specticle® FLO </v>
      </c>
      <c r="D65" s="5" t="str">
        <f>INDEX(PRICING[Size],MATCH(Rebate_Lookup[[#This Row],[SKU CODE]],PRICING[SKU],0))</f>
        <v>18 oz</v>
      </c>
      <c r="E65" s="5" cm="1">
        <f t="array" ref="E65">SUM(COUNTIFS(
    PRICING[Program],{"EOP/ORN","ORN","EOP","NOW","LL/NOW","LL/SLP/NOW","LL/SLP/EOP"},
    PRICING[SKU],A65
))</f>
        <v>1</v>
      </c>
      <c r="F65" s="5" cm="1">
        <f t="array" ref="F65">IFERROR(
MIN(
_xlfn._xlws.FILTER(
--_xlfn.TEXTBEFORE(
SUBSTITUTE(
SUBSTITUTE(PRICING[Min Qty],"+"," "),
"-"," "
),
" "
),
(PRICING[SKU]=$A65)*
(PRICING[Set]=1)*
(PRICING[Rebate $]&lt;&gt;0)*
(PRICING[Rebate $]&lt;&gt;"")
)
),
0
)</f>
        <v>0</v>
      </c>
      <c r="G65" s="5" cm="1">
        <f t="array" ref="G65">IFERROR(
MIN(
_xlfn._xlws.FILTER(
--_xlfn.TEXTBEFORE(
SUBSTITUTE(
SUBSTITUTE(PRICING[Min Qty],"+"," "),
"-"," "
),
" "
),
(PRICING[SKU]=$A65)*
(PRICING[Set]=2)*
(PRICING[Rebate $]&lt;&gt;0)*
(PRICING[Rebate $]&lt;&gt;"")
)
),
0
)</f>
        <v>0</v>
      </c>
      <c r="H65" s="5" cm="1">
        <f t="array" ref="H65">IFERROR(
MIN(
_xlfn._xlws.FILTER(
--_xlfn.TEXTBEFORE(
SUBSTITUTE(
SUBSTITUTE(PRICING[Min Qty],"+"," "),
"-"," "
),
" "
),
(PRICING[SKU]=$A65)*
(PRICING[Set]=3)*
(PRICING[Rebate $]&lt;&gt;0)*
(PRICING[Rebate $]&lt;&gt;"")
)
),
0
)</f>
        <v>0</v>
      </c>
      <c r="I65" s="5" cm="1">
        <f t="array" ref="I65">IFERROR(
MIN(
_xlfn._xlws.FILTER(
--_xlfn.TEXTBEFORE(
SUBSTITUTE(
SUBSTITUTE(PRICING[Min Qty],"+"," "),
"-"," "
),
" "
),
(PRICING[SKU]=$A65)*
(PRICING[Set]=4)*
(PRICING[Rebate $]&lt;&gt;0)*
(PRICING[Rebate $]&lt;&gt;"")
)
),
0
)</f>
        <v>0</v>
      </c>
      <c r="J65" s="5" cm="1">
        <f t="array" ref="J65">SUM(
    SUMIFS(
        PRICING[Rebate $],
        PRICING[Program],
        {"EOP/ORN","ORN","EOP","NOW","LL/NOW","LL/SLP/NOW","LL/SLP/EOP"},
        PRICING[SKU],
        Rebate_Lookup[[#This Row],[SKU CODE]],
        PRICING[Set],
        1
    )
)</f>
        <v>0</v>
      </c>
      <c r="K65" s="5" cm="1">
        <f t="array" ref="K65">SUM(
    SUMIFS(
        PRICING[Rebate $],
        PRICING[Program],
        {"EOP/ORN","ORN","EOP","NOW","LL/NOW","LL/SLP/NOW","LL/SLP/EOP"},
        PRICING[SKU],
        Rebate_Lookup[[#This Row],[SKU CODE]],
        PRICING[Set],
        2
    )
)</f>
        <v>0</v>
      </c>
      <c r="L65" s="5" cm="1">
        <f t="array" ref="L65">SUM(
    SUMIFS(
        PRICING[Rebate $],
        PRICING[Program],
        {"EOP/ORN","ORN","EOP","NOW","LL/NOW","LL/SLP/NOW","LL/SLP/EOP"},
        PRICING[SKU],
        Rebate_Lookup[[#This Row],[SKU CODE]],
        PRICING[Set],
        3
    )
)</f>
        <v>0</v>
      </c>
      <c r="M65" s="5" cm="1">
        <f t="array" ref="M65">SUM(
    SUMIFS(
        PRICING[Rebate $],
        PRICING[Program],
        {"EOP/ORN","ORN","EOP","NOW","LL/NOW","LL/SLP/NOW","LL/SLP/EOP"},
        PRICING[SKU],
        Rebate_Lookup[[#This Row],[SKU CODE]],
        PRICING[Set],
        4
    )
)</f>
        <v>0</v>
      </c>
      <c r="N65" s="5">
        <f>INDEX(Estimates!H:H,MATCH(Rebate_Lookup[[#This Row],[SKU CODE]],Estimates!A:A,0))</f>
        <v>0</v>
      </c>
      <c r="O65"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65" s="5">
        <f>COUNTIF(Estimates!A:A,Rebate_Lookup[[#This Row],[SKU CODE]])</f>
        <v>1</v>
      </c>
      <c r="Q65" s="6" t="b">
        <f>IFERROR(Rebate_Lookup[[#This Row],[Order Form Quantity]]&gt;=Rebate_Lookup[[#This Row],[MOQ_2]],0)</f>
        <v>1</v>
      </c>
    </row>
    <row r="66" spans="1:17" x14ac:dyDescent="0.2">
      <c r="A66" s="168" t="s">
        <v>73</v>
      </c>
      <c r="B66" s="5" t="str">
        <f>INDEX(PRICING[Agency/TT],MATCH(Rebate_Lookup[[#This Row],[SKU CODE]],PRICING[SKU],0))</f>
        <v>A</v>
      </c>
      <c r="C66" s="5" t="str">
        <f>INDEX(PRICING[Product],MATCH(Rebate_Lookup[[#This Row],[SKU CODE]],PRICING[SKU],0))</f>
        <v xml:space="preserve">Specticle® FLO </v>
      </c>
      <c r="D66" s="5" t="str">
        <f>INDEX(PRICING[Size],MATCH(Rebate_Lookup[[#This Row],[SKU CODE]],PRICING[SKU],0))</f>
        <v>1 gal</v>
      </c>
      <c r="E66" s="5" cm="1">
        <f t="array" ref="E66">SUM(COUNTIFS(
    PRICING[Program],{"EOP/ORN","ORN","EOP","NOW","LL/NOW","LL/SLP/NOW","LL/SLP/EOP"},
    PRICING[SKU],A66
))</f>
        <v>1</v>
      </c>
      <c r="F66" s="5" cm="1">
        <f t="array" ref="F66">IFERROR(
MIN(
_xlfn._xlws.FILTER(
--_xlfn.TEXTBEFORE(
SUBSTITUTE(
SUBSTITUTE(PRICING[Min Qty],"+"," "),
"-"," "
),
" "
),
(PRICING[SKU]=$A66)*
(PRICING[Set]=1)*
(PRICING[Rebate $]&lt;&gt;0)*
(PRICING[Rebate $]&lt;&gt;"")
)
),
0
)</f>
        <v>1</v>
      </c>
      <c r="G66" s="5" cm="1">
        <f t="array" ref="G66">IFERROR(
MIN(
_xlfn._xlws.FILTER(
--_xlfn.TEXTBEFORE(
SUBSTITUTE(
SUBSTITUTE(PRICING[Min Qty],"+"," "),
"-"," "
),
" "
),
(PRICING[SKU]=$A66)*
(PRICING[Set]=2)*
(PRICING[Rebate $]&lt;&gt;0)*
(PRICING[Rebate $]&lt;&gt;"")
)
),
0
)</f>
        <v>0</v>
      </c>
      <c r="H66" s="5" cm="1">
        <f t="array" ref="H66">IFERROR(
MIN(
_xlfn._xlws.FILTER(
--_xlfn.TEXTBEFORE(
SUBSTITUTE(
SUBSTITUTE(PRICING[Min Qty],"+"," "),
"-"," "
),
" "
),
(PRICING[SKU]=$A66)*
(PRICING[Set]=3)*
(PRICING[Rebate $]&lt;&gt;0)*
(PRICING[Rebate $]&lt;&gt;"")
)
),
0
)</f>
        <v>0</v>
      </c>
      <c r="I66" s="5" cm="1">
        <f t="array" ref="I66">IFERROR(
MIN(
_xlfn._xlws.FILTER(
--_xlfn.TEXTBEFORE(
SUBSTITUTE(
SUBSTITUTE(PRICING[Min Qty],"+"," "),
"-"," "
),
" "
),
(PRICING[SKU]=$A66)*
(PRICING[Set]=4)*
(PRICING[Rebate $]&lt;&gt;0)*
(PRICING[Rebate $]&lt;&gt;"")
)
),
0
)</f>
        <v>0</v>
      </c>
      <c r="J66" s="5" cm="1">
        <f t="array" ref="J66">SUM(
    SUMIFS(
        PRICING[Rebate $],
        PRICING[Program],
        {"EOP/ORN","ORN","EOP","NOW","LL/NOW","LL/SLP/NOW","LL/SLP/EOP"},
        PRICING[SKU],
        Rebate_Lookup[[#This Row],[SKU CODE]],
        PRICING[Set],
        1
    )
)</f>
        <v>101</v>
      </c>
      <c r="K66" s="5" cm="1">
        <f t="array" ref="K66">SUM(
    SUMIFS(
        PRICING[Rebate $],
        PRICING[Program],
        {"EOP/ORN","ORN","EOP","NOW","LL/NOW","LL/SLP/NOW","LL/SLP/EOP"},
        PRICING[SKU],
        Rebate_Lookup[[#This Row],[SKU CODE]],
        PRICING[Set],
        2
    )
)</f>
        <v>0</v>
      </c>
      <c r="L66" s="5" cm="1">
        <f t="array" ref="L66">SUM(
    SUMIFS(
        PRICING[Rebate $],
        PRICING[Program],
        {"EOP/ORN","ORN","EOP","NOW","LL/NOW","LL/SLP/NOW","LL/SLP/EOP"},
        PRICING[SKU],
        Rebate_Lookup[[#This Row],[SKU CODE]],
        PRICING[Set],
        3
    )
)</f>
        <v>0</v>
      </c>
      <c r="M66" s="5" cm="1">
        <f t="array" ref="M66">SUM(
    SUMIFS(
        PRICING[Rebate $],
        PRICING[Program],
        {"EOP/ORN","ORN","EOP","NOW","LL/NOW","LL/SLP/NOW","LL/SLP/EOP"},
        PRICING[SKU],
        Rebate_Lookup[[#This Row],[SKU CODE]],
        PRICING[Set],
        4
    )
)</f>
        <v>0</v>
      </c>
      <c r="N66" s="5">
        <f>INDEX(Estimates!H:H,MATCH(Rebate_Lookup[[#This Row],[SKU CODE]],Estimates!A:A,0))</f>
        <v>0</v>
      </c>
      <c r="O66" s="5"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66" s="5">
        <f>COUNTIF(Estimates!A:A,Rebate_Lookup[[#This Row],[SKU CODE]])</f>
        <v>1</v>
      </c>
      <c r="Q66" s="6" t="b">
        <f>IFERROR(Rebate_Lookup[[#This Row],[Order Form Quantity]]&gt;=Rebate_Lookup[[#This Row],[MOQ_2]],0)</f>
        <v>1</v>
      </c>
    </row>
    <row r="67" spans="1:17" x14ac:dyDescent="0.2">
      <c r="A67" s="168" t="s">
        <v>74</v>
      </c>
      <c r="B67" s="5" t="str">
        <f>INDEX(PRICING[Agency/TT],MATCH(Rebate_Lookup[[#This Row],[SKU CODE]],PRICING[SKU],0))</f>
        <v>A</v>
      </c>
      <c r="C67" s="5" t="str">
        <f>INDEX(PRICING[Product],MATCH(Rebate_Lookup[[#This Row],[SKU CODE]],PRICING[SKU],0))</f>
        <v xml:space="preserve">Specticle® FLO </v>
      </c>
      <c r="D67" s="5" t="str">
        <f>INDEX(PRICING[Size],MATCH(Rebate_Lookup[[#This Row],[SKU CODE]],PRICING[SKU],0))</f>
        <v>1 gal</v>
      </c>
      <c r="E67" s="5" cm="1">
        <f t="array" ref="E67">SUM(COUNTIFS(
    PRICING[Program],{"EOP/ORN","ORN","EOP","NOW","LL/NOW","LL/SLP/NOW","LL/SLP/EOP"},
    PRICING[SKU],A67
))</f>
        <v>1</v>
      </c>
      <c r="F67" s="5" cm="1">
        <f t="array" ref="F67">IFERROR(
MIN(
_xlfn._xlws.FILTER(
--_xlfn.TEXTBEFORE(
SUBSTITUTE(
SUBSTITUTE(PRICING[Min Qty],"+"," "),
"-"," "
),
" "
),
(PRICING[SKU]=$A67)*
(PRICING[Set]=1)*
(PRICING[Rebate $]&lt;&gt;0)*
(PRICING[Rebate $]&lt;&gt;"")
)
),
0
)</f>
        <v>7</v>
      </c>
      <c r="G67" s="5" cm="1">
        <f t="array" ref="G67">IFERROR(
MIN(
_xlfn._xlws.FILTER(
--_xlfn.TEXTBEFORE(
SUBSTITUTE(
SUBSTITUTE(PRICING[Min Qty],"+"," "),
"-"," "
),
" "
),
(PRICING[SKU]=$A67)*
(PRICING[Set]=2)*
(PRICING[Rebate $]&lt;&gt;0)*
(PRICING[Rebate $]&lt;&gt;"")
)
),
0
)</f>
        <v>0</v>
      </c>
      <c r="H67" s="5" cm="1">
        <f t="array" ref="H67">IFERROR(
MIN(
_xlfn._xlws.FILTER(
--_xlfn.TEXTBEFORE(
SUBSTITUTE(
SUBSTITUTE(PRICING[Min Qty],"+"," "),
"-"," "
),
" "
),
(PRICING[SKU]=$A67)*
(PRICING[Set]=3)*
(PRICING[Rebate $]&lt;&gt;0)*
(PRICING[Rebate $]&lt;&gt;"")
)
),
0
)</f>
        <v>0</v>
      </c>
      <c r="I67" s="5" cm="1">
        <f t="array" ref="I67">IFERROR(
MIN(
_xlfn._xlws.FILTER(
--_xlfn.TEXTBEFORE(
SUBSTITUTE(
SUBSTITUTE(PRICING[Min Qty],"+"," "),
"-"," "
),
" "
),
(PRICING[SKU]=$A67)*
(PRICING[Set]=4)*
(PRICING[Rebate $]&lt;&gt;0)*
(PRICING[Rebate $]&lt;&gt;"")
)
),
0
)</f>
        <v>0</v>
      </c>
      <c r="J67" s="5" cm="1">
        <f t="array" ref="J67">SUM(
    SUMIFS(
        PRICING[Rebate $],
        PRICING[Program],
        {"EOP/ORN","ORN","EOP","NOW","LL/NOW","LL/SLP/NOW","LL/SLP/EOP"},
        PRICING[SKU],
        Rebate_Lookup[[#This Row],[SKU CODE]],
        PRICING[Set],
        1
    )
)</f>
        <v>115</v>
      </c>
      <c r="K67" s="5" cm="1">
        <f t="array" ref="K67">SUM(
    SUMIFS(
        PRICING[Rebate $],
        PRICING[Program],
        {"EOP/ORN","ORN","EOP","NOW","LL/NOW","LL/SLP/NOW","LL/SLP/EOP"},
        PRICING[SKU],
        Rebate_Lookup[[#This Row],[SKU CODE]],
        PRICING[Set],
        2
    )
)</f>
        <v>0</v>
      </c>
      <c r="L67" s="5" cm="1">
        <f t="array" ref="L67">SUM(
    SUMIFS(
        PRICING[Rebate $],
        PRICING[Program],
        {"EOP/ORN","ORN","EOP","NOW","LL/NOW","LL/SLP/NOW","LL/SLP/EOP"},
        PRICING[SKU],
        Rebate_Lookup[[#This Row],[SKU CODE]],
        PRICING[Set],
        3
    )
)</f>
        <v>0</v>
      </c>
      <c r="M67" s="5" cm="1">
        <f t="array" ref="M67">SUM(
    SUMIFS(
        PRICING[Rebate $],
        PRICING[Program],
        {"EOP/ORN","ORN","EOP","NOW","LL/NOW","LL/SLP/NOW","LL/SLP/EOP"},
        PRICING[SKU],
        Rebate_Lookup[[#This Row],[SKU CODE]],
        PRICING[Set],
        4
    )
)</f>
        <v>0</v>
      </c>
      <c r="N67" s="5">
        <f>INDEX(Estimates!H:H,MATCH(Rebate_Lookup[[#This Row],[SKU CODE]],Estimates!A:A,0))</f>
        <v>0</v>
      </c>
      <c r="O67" s="5"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67" s="5">
        <f>COUNTIF(Estimates!A:A,Rebate_Lookup[[#This Row],[SKU CODE]])</f>
        <v>1</v>
      </c>
      <c r="Q67" s="6" t="b">
        <f>IFERROR(Rebate_Lookup[[#This Row],[Order Form Quantity]]&gt;=Rebate_Lookup[[#This Row],[MOQ_2]],0)</f>
        <v>1</v>
      </c>
    </row>
    <row r="68" spans="1:17" x14ac:dyDescent="0.2">
      <c r="A68" s="168" t="s">
        <v>75</v>
      </c>
      <c r="B68" s="5" t="str">
        <f>INDEX(PRICING[Agency/TT],MATCH(Rebate_Lookup[[#This Row],[SKU CODE]],PRICING[SKU],0))</f>
        <v>A</v>
      </c>
      <c r="C68" s="5" t="str">
        <f>INDEX(PRICING[Product],MATCH(Rebate_Lookup[[#This Row],[SKU CODE]],PRICING[SKU],0))</f>
        <v xml:space="preserve">Specticle® FLO </v>
      </c>
      <c r="D68" s="5" t="str">
        <f>INDEX(PRICING[Size],MATCH(Rebate_Lookup[[#This Row],[SKU CODE]],PRICING[SKU],0))</f>
        <v>1 gal</v>
      </c>
      <c r="E68" s="5" cm="1">
        <f t="array" ref="E68">SUM(COUNTIFS(
    PRICING[Program],{"EOP/ORN","ORN","EOP","NOW","LL/NOW","LL/SLP/NOW","LL/SLP/EOP"},
    PRICING[SKU],A68
))</f>
        <v>1</v>
      </c>
      <c r="F68" s="5" cm="1">
        <f t="array" ref="F68">IFERROR(
MIN(
_xlfn._xlws.FILTER(
--_xlfn.TEXTBEFORE(
SUBSTITUTE(
SUBSTITUTE(PRICING[Min Qty],"+"," "),
"-"," "
),
" "
),
(PRICING[SKU]=$A68)*
(PRICING[Set]=1)*
(PRICING[Rebate $]&lt;&gt;0)*
(PRICING[Rebate $]&lt;&gt;"")
)
),
0
)</f>
        <v>14</v>
      </c>
      <c r="G68" s="5" cm="1">
        <f t="array" ref="G68">IFERROR(
MIN(
_xlfn._xlws.FILTER(
--_xlfn.TEXTBEFORE(
SUBSTITUTE(
SUBSTITUTE(PRICING[Min Qty],"+"," "),
"-"," "
),
" "
),
(PRICING[SKU]=$A68)*
(PRICING[Set]=2)*
(PRICING[Rebate $]&lt;&gt;0)*
(PRICING[Rebate $]&lt;&gt;"")
)
),
0
)</f>
        <v>0</v>
      </c>
      <c r="H68" s="5" cm="1">
        <f t="array" ref="H68">IFERROR(
MIN(
_xlfn._xlws.FILTER(
--_xlfn.TEXTBEFORE(
SUBSTITUTE(
SUBSTITUTE(PRICING[Min Qty],"+"," "),
"-"," "
),
" "
),
(PRICING[SKU]=$A68)*
(PRICING[Set]=3)*
(PRICING[Rebate $]&lt;&gt;0)*
(PRICING[Rebate $]&lt;&gt;"")
)
),
0
)</f>
        <v>0</v>
      </c>
      <c r="I68" s="5" cm="1">
        <f t="array" ref="I68">IFERROR(
MIN(
_xlfn._xlws.FILTER(
--_xlfn.TEXTBEFORE(
SUBSTITUTE(
SUBSTITUTE(PRICING[Min Qty],"+"," "),
"-"," "
),
" "
),
(PRICING[SKU]=$A68)*
(PRICING[Set]=4)*
(PRICING[Rebate $]&lt;&gt;0)*
(PRICING[Rebate $]&lt;&gt;"")
)
),
0
)</f>
        <v>0</v>
      </c>
      <c r="J68" s="5" cm="1">
        <f t="array" ref="J68">SUM(
    SUMIFS(
        PRICING[Rebate $],
        PRICING[Program],
        {"EOP/ORN","ORN","EOP","NOW","LL/NOW","LL/SLP/NOW","LL/SLP/EOP"},
        PRICING[SKU],
        Rebate_Lookup[[#This Row],[SKU CODE]],
        PRICING[Set],
        1
    )
)</f>
        <v>128</v>
      </c>
      <c r="K68" s="5" cm="1">
        <f t="array" ref="K68">SUM(
    SUMIFS(
        PRICING[Rebate $],
        PRICING[Program],
        {"EOP/ORN","ORN","EOP","NOW","LL/NOW","LL/SLP/NOW","LL/SLP/EOP"},
        PRICING[SKU],
        Rebate_Lookup[[#This Row],[SKU CODE]],
        PRICING[Set],
        2
    )
)</f>
        <v>0</v>
      </c>
      <c r="L68" s="5" cm="1">
        <f t="array" ref="L68">SUM(
    SUMIFS(
        PRICING[Rebate $],
        PRICING[Program],
        {"EOP/ORN","ORN","EOP","NOW","LL/NOW","LL/SLP/NOW","LL/SLP/EOP"},
        PRICING[SKU],
        Rebate_Lookup[[#This Row],[SKU CODE]],
        PRICING[Set],
        3
    )
)</f>
        <v>0</v>
      </c>
      <c r="M68" s="5" cm="1">
        <f t="array" ref="M68">SUM(
    SUMIFS(
        PRICING[Rebate $],
        PRICING[Program],
        {"EOP/ORN","ORN","EOP","NOW","LL/NOW","LL/SLP/NOW","LL/SLP/EOP"},
        PRICING[SKU],
        Rebate_Lookup[[#This Row],[SKU CODE]],
        PRICING[Set],
        4
    )
)</f>
        <v>0</v>
      </c>
      <c r="N68" s="5">
        <f>INDEX(Estimates!H:H,MATCH(Rebate_Lookup[[#This Row],[SKU CODE]],Estimates!A:A,0))</f>
        <v>0</v>
      </c>
      <c r="O68" s="5"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68" s="5">
        <f>COUNTIF(Estimates!A:A,Rebate_Lookup[[#This Row],[SKU CODE]])</f>
        <v>1</v>
      </c>
      <c r="Q68" s="6" t="b">
        <f>IFERROR(Rebate_Lookup[[#This Row],[Order Form Quantity]]&gt;=Rebate_Lookup[[#This Row],[MOQ_2]],0)</f>
        <v>1</v>
      </c>
    </row>
    <row r="69" spans="1:17" x14ac:dyDescent="0.2">
      <c r="A69" s="272" t="s">
        <v>76</v>
      </c>
      <c r="B69" s="5" t="str">
        <f>INDEX(PRICING[Agency/TT],MATCH(Rebate_Lookup[[#This Row],[SKU CODE]],PRICING[SKU],0))</f>
        <v>A</v>
      </c>
      <c r="C69" s="5" t="str">
        <f>INDEX(PRICING[Product],MATCH(Rebate_Lookup[[#This Row],[SKU CODE]],PRICING[SKU],0))</f>
        <v xml:space="preserve">Specticle® FLO </v>
      </c>
      <c r="D69" s="5" t="str">
        <f>INDEX(PRICING[Size],MATCH(Rebate_Lookup[[#This Row],[SKU CODE]],PRICING[SKU],0))</f>
        <v>1 gal</v>
      </c>
      <c r="E69" s="5" cm="1">
        <f t="array" ref="E69">SUM(COUNTIFS(
    PRICING[Program],{"EOP/ORN","ORN","EOP","NOW","LL/NOW","LL/SLP/NOW","LL/SLP/EOP"},
    PRICING[SKU],A69
))</f>
        <v>1</v>
      </c>
      <c r="F69" s="5" cm="1">
        <f t="array" ref="F69">IFERROR(
MIN(
_xlfn._xlws.FILTER(
--_xlfn.TEXTBEFORE(
SUBSTITUTE(
SUBSTITUTE(PRICING[Min Qty],"+"," "),
"-"," "
),
" "
),
(PRICING[SKU]=$A69)*
(PRICING[Set]=1)*
(PRICING[Rebate $]&lt;&gt;0)*
(PRICING[Rebate $]&lt;&gt;"")
)
),
0
)</f>
        <v>26</v>
      </c>
      <c r="G69" s="5" cm="1">
        <f t="array" ref="G69">IFERROR(
MIN(
_xlfn._xlws.FILTER(
--_xlfn.TEXTBEFORE(
SUBSTITUTE(
SUBSTITUTE(PRICING[Min Qty],"+"," "),
"-"," "
),
" "
),
(PRICING[SKU]=$A69)*
(PRICING[Set]=2)*
(PRICING[Rebate $]&lt;&gt;0)*
(PRICING[Rebate $]&lt;&gt;"")
)
),
0
)</f>
        <v>0</v>
      </c>
      <c r="H69" s="5" cm="1">
        <f t="array" ref="H69">IFERROR(
MIN(
_xlfn._xlws.FILTER(
--_xlfn.TEXTBEFORE(
SUBSTITUTE(
SUBSTITUTE(PRICING[Min Qty],"+"," "),
"-"," "
),
" "
),
(PRICING[SKU]=$A69)*
(PRICING[Set]=3)*
(PRICING[Rebate $]&lt;&gt;0)*
(PRICING[Rebate $]&lt;&gt;"")
)
),
0
)</f>
        <v>0</v>
      </c>
      <c r="I69" s="5" cm="1">
        <f t="array" ref="I69">IFERROR(
MIN(
_xlfn._xlws.FILTER(
--_xlfn.TEXTBEFORE(
SUBSTITUTE(
SUBSTITUTE(PRICING[Min Qty],"+"," "),
"-"," "
),
" "
),
(PRICING[SKU]=$A69)*
(PRICING[Set]=4)*
(PRICING[Rebate $]&lt;&gt;0)*
(PRICING[Rebate $]&lt;&gt;"")
)
),
0
)</f>
        <v>0</v>
      </c>
      <c r="J69" s="5" cm="1">
        <f t="array" ref="J69">SUM(
    SUMIFS(
        PRICING[Rebate $],
        PRICING[Program],
        {"EOP/ORN","ORN","EOP","NOW","LL/NOW","LL/SLP/NOW","LL/SLP/EOP"},
        PRICING[SKU],
        Rebate_Lookup[[#This Row],[SKU CODE]],
        PRICING[Set],
        1
    )
)</f>
        <v>328</v>
      </c>
      <c r="K69" s="5" cm="1">
        <f t="array" ref="K69">SUM(
    SUMIFS(
        PRICING[Rebate $],
        PRICING[Program],
        {"EOP/ORN","ORN","EOP","NOW","LL/NOW","LL/SLP/NOW","LL/SLP/EOP"},
        PRICING[SKU],
        Rebate_Lookup[[#This Row],[SKU CODE]],
        PRICING[Set],
        2
    )
)</f>
        <v>0</v>
      </c>
      <c r="L69" s="5" cm="1">
        <f t="array" ref="L69">SUM(
    SUMIFS(
        PRICING[Rebate $],
        PRICING[Program],
        {"EOP/ORN","ORN","EOP","NOW","LL/NOW","LL/SLP/NOW","LL/SLP/EOP"},
        PRICING[SKU],
        Rebate_Lookup[[#This Row],[SKU CODE]],
        PRICING[Set],
        3
    )
)</f>
        <v>0</v>
      </c>
      <c r="M69" s="5" cm="1">
        <f t="array" ref="M69">SUM(
    SUMIFS(
        PRICING[Rebate $],
        PRICING[Program],
        {"EOP/ORN","ORN","EOP","NOW","LL/NOW","LL/SLP/NOW","LL/SLP/EOP"},
        PRICING[SKU],
        Rebate_Lookup[[#This Row],[SKU CODE]],
        PRICING[Set],
        4
    )
)</f>
        <v>0</v>
      </c>
      <c r="N69" s="5">
        <f>INDEX(Estimates!H:H,MATCH(Rebate_Lookup[[#This Row],[SKU CODE]],Estimates!A:A,0))</f>
        <v>0</v>
      </c>
      <c r="O69" s="5"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69" s="5">
        <f>COUNTIF(Estimates!A:A,Rebate_Lookup[[#This Row],[SKU CODE]])</f>
        <v>1</v>
      </c>
      <c r="Q69" s="6" t="b">
        <f>IFERROR(Rebate_Lookup[[#This Row],[Order Form Quantity]]&gt;=Rebate_Lookup[[#This Row],[MOQ_2]],0)</f>
        <v>1</v>
      </c>
    </row>
    <row r="70" spans="1:17" x14ac:dyDescent="0.2">
      <c r="A70" s="168" t="s">
        <v>77</v>
      </c>
      <c r="B70" s="5" t="str">
        <f>INDEX(PRICING[Agency/TT],MATCH(Rebate_Lookup[[#This Row],[SKU CODE]],PRICING[SKU],0))</f>
        <v>A</v>
      </c>
      <c r="C70" s="5" t="str">
        <f>INDEX(PRICING[Product],MATCH(Rebate_Lookup[[#This Row],[SKU CODE]],PRICING[SKU],0))</f>
        <v>Specticle® G</v>
      </c>
      <c r="D70" s="5" t="str">
        <f>INDEX(PRICING[Size],MATCH(Rebate_Lookup[[#This Row],[SKU CODE]],PRICING[SKU],0))</f>
        <v>50 lb</v>
      </c>
      <c r="E70" s="5" cm="1">
        <f t="array" ref="E70">SUM(COUNTIFS(
    PRICING[Program],{"EOP/ORN","ORN","EOP","NOW","LL/NOW","LL/SLP/NOW","LL/SLP/EOP"},
    PRICING[SKU],A70
))</f>
        <v>2</v>
      </c>
      <c r="F70" s="5" cm="1">
        <f t="array" ref="F70">IFERROR(
MIN(
_xlfn._xlws.FILTER(
--_xlfn.TEXTBEFORE(
SUBSTITUTE(
SUBSTITUTE(PRICING[Min Qty],"+"," "),
"-"," "
),
" "
),
(PRICING[SKU]=$A70)*
(PRICING[Set]=1)*
(PRICING[Rebate $]&lt;&gt;0)*
(PRICING[Rebate $]&lt;&gt;"")
)
),
0
)</f>
        <v>0</v>
      </c>
      <c r="G70" s="5" cm="1">
        <f t="array" ref="G70">IFERROR(
MIN(
_xlfn._xlws.FILTER(
--_xlfn.TEXTBEFORE(
SUBSTITUTE(
SUBSTITUTE(PRICING[Min Qty],"+"," "),
"-"," "
),
" "
),
(PRICING[SKU]=$A70)*
(PRICING[Set]=2)*
(PRICING[Rebate $]&lt;&gt;0)*
(PRICING[Rebate $]&lt;&gt;"")
)
),
0
)</f>
        <v>40</v>
      </c>
      <c r="H70" s="5" cm="1">
        <f t="array" ref="H70">IFERROR(
MIN(
_xlfn._xlws.FILTER(
--_xlfn.TEXTBEFORE(
SUBSTITUTE(
SUBSTITUTE(PRICING[Min Qty],"+"," "),
"-"," "
),
" "
),
(PRICING[SKU]=$A70)*
(PRICING[Set]=3)*
(PRICING[Rebate $]&lt;&gt;0)*
(PRICING[Rebate $]&lt;&gt;"")
)
),
0
)</f>
        <v>0</v>
      </c>
      <c r="I70" s="5" cm="1">
        <f t="array" ref="I70">IFERROR(
MIN(
_xlfn._xlws.FILTER(
--_xlfn.TEXTBEFORE(
SUBSTITUTE(
SUBSTITUTE(PRICING[Min Qty],"+"," "),
"-"," "
),
" "
),
(PRICING[SKU]=$A70)*
(PRICING[Set]=4)*
(PRICING[Rebate $]&lt;&gt;0)*
(PRICING[Rebate $]&lt;&gt;"")
)
),
0
)</f>
        <v>0</v>
      </c>
      <c r="J70" s="5" cm="1">
        <f t="array" ref="J70">SUM(
    SUMIFS(
        PRICING[Rebate $],
        PRICING[Program],
        {"EOP/ORN","ORN","EOP","NOW","LL/NOW","LL/SLP/NOW","LL/SLP/EOP"},
        PRICING[SKU],
        Rebate_Lookup[[#This Row],[SKU CODE]],
        PRICING[Set],
        1
    )
)</f>
        <v>0</v>
      </c>
      <c r="K70" s="5" cm="1">
        <f t="array" ref="K70">SUM(
    SUMIFS(
        PRICING[Rebate $],
        PRICING[Program],
        {"EOP/ORN","ORN","EOP","NOW","LL/NOW","LL/SLP/NOW","LL/SLP/EOP"},
        PRICING[SKU],
        Rebate_Lookup[[#This Row],[SKU CODE]],
        PRICING[Set],
        2
    )
)</f>
        <v>20</v>
      </c>
      <c r="L70" s="5" cm="1">
        <f t="array" ref="L70">SUM(
    SUMIFS(
        PRICING[Rebate $],
        PRICING[Program],
        {"EOP/ORN","ORN","EOP","NOW","LL/NOW","LL/SLP/NOW","LL/SLP/EOP"},
        PRICING[SKU],
        Rebate_Lookup[[#This Row],[SKU CODE]],
        PRICING[Set],
        3
    )
)</f>
        <v>0</v>
      </c>
      <c r="M70" s="5" cm="1">
        <f t="array" ref="M70">SUM(
    SUMIFS(
        PRICING[Rebate $],
        PRICING[Program],
        {"EOP/ORN","ORN","EOP","NOW","LL/NOW","LL/SLP/NOW","LL/SLP/EOP"},
        PRICING[SKU],
        Rebate_Lookup[[#This Row],[SKU CODE]],
        PRICING[Set],
        4
    )
)</f>
        <v>0</v>
      </c>
      <c r="N70" s="5">
        <f>INDEX(Estimates!H:H,MATCH(Rebate_Lookup[[#This Row],[SKU CODE]],Estimates!A:A,0))</f>
        <v>0</v>
      </c>
      <c r="O70"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70" s="5">
        <f>COUNTIF(Estimates!A:A,Rebate_Lookup[[#This Row],[SKU CODE]])</f>
        <v>1</v>
      </c>
      <c r="Q70" s="6" t="b">
        <f>IFERROR(Rebate_Lookup[[#This Row],[Order Form Quantity]]&gt;=Rebate_Lookup[[#This Row],[MOQ_2]],0)</f>
        <v>0</v>
      </c>
    </row>
    <row r="71" spans="1:17" x14ac:dyDescent="0.2">
      <c r="A71" s="168" t="s">
        <v>78</v>
      </c>
      <c r="B71" s="5" t="str">
        <f>INDEX(PRICING[Agency/TT],MATCH(Rebate_Lookup[[#This Row],[SKU CODE]],PRICING[SKU],0))</f>
        <v>A</v>
      </c>
      <c r="C71" s="5" t="str">
        <f>INDEX(PRICING[Product],MATCH(Rebate_Lookup[[#This Row],[SKU CODE]],PRICING[SKU],0))</f>
        <v xml:space="preserve">Tartan® Stressgard® </v>
      </c>
      <c r="D71" s="5" t="str">
        <f>INDEX(PRICING[Size],MATCH(Rebate_Lookup[[#This Row],[SKU CODE]],PRICING[SKU],0))</f>
        <v>2.5 gal</v>
      </c>
      <c r="E71" s="5" cm="1">
        <f t="array" ref="E71">SUM(COUNTIFS(
    PRICING[Program],{"EOP/ORN","ORN","EOP","NOW","LL/NOW","LL/SLP/NOW","LL/SLP/EOP"},
    PRICING[SKU],A71
))</f>
        <v>2</v>
      </c>
      <c r="F71" s="5" cm="1">
        <f t="array" ref="F71">IFERROR(
MIN(
_xlfn._xlws.FILTER(
--_xlfn.TEXTBEFORE(
SUBSTITUTE(
SUBSTITUTE(PRICING[Min Qty],"+"," "),
"-"," "
),
" "
),
(PRICING[SKU]=$A71)*
(PRICING[Set]=1)*
(PRICING[Rebate $]&lt;&gt;0)*
(PRICING[Rebate $]&lt;&gt;"")
)
),
0
)</f>
        <v>0</v>
      </c>
      <c r="G71" s="5" cm="1">
        <f t="array" ref="G71">IFERROR(
MIN(
_xlfn._xlws.FILTER(
--_xlfn.TEXTBEFORE(
SUBSTITUTE(
SUBSTITUTE(PRICING[Min Qty],"+"," "),
"-"," "
),
" "
),
(PRICING[SKU]=$A71)*
(PRICING[Set]=2)*
(PRICING[Rebate $]&lt;&gt;0)*
(PRICING[Rebate $]&lt;&gt;"")
)
),
0
)</f>
        <v>6</v>
      </c>
      <c r="H71" s="5" cm="1">
        <f t="array" ref="H71">IFERROR(
MIN(
_xlfn._xlws.FILTER(
--_xlfn.TEXTBEFORE(
SUBSTITUTE(
SUBSTITUTE(PRICING[Min Qty],"+"," "),
"-"," "
),
" "
),
(PRICING[SKU]=$A71)*
(PRICING[Set]=3)*
(PRICING[Rebate $]&lt;&gt;0)*
(PRICING[Rebate $]&lt;&gt;"")
)
),
0
)</f>
        <v>0</v>
      </c>
      <c r="I71" s="5" cm="1">
        <f t="array" ref="I71">IFERROR(
MIN(
_xlfn._xlws.FILTER(
--_xlfn.TEXTBEFORE(
SUBSTITUTE(
SUBSTITUTE(PRICING[Min Qty],"+"," "),
"-"," "
),
" "
),
(PRICING[SKU]=$A71)*
(PRICING[Set]=4)*
(PRICING[Rebate $]&lt;&gt;0)*
(PRICING[Rebate $]&lt;&gt;"")
)
),
0
)</f>
        <v>0</v>
      </c>
      <c r="J71" s="5" cm="1">
        <f t="array" ref="J71">SUM(
    SUMIFS(
        PRICING[Rebate $],
        PRICING[Program],
        {"EOP/ORN","ORN","EOP","NOW","LL/NOW","LL/SLP/NOW","LL/SLP/EOP"},
        PRICING[SKU],
        Rebate_Lookup[[#This Row],[SKU CODE]],
        PRICING[Set],
        1
    )
)</f>
        <v>0</v>
      </c>
      <c r="K71" s="5" cm="1">
        <f t="array" ref="K71">SUM(
    SUMIFS(
        PRICING[Rebate $],
        PRICING[Program],
        {"EOP/ORN","ORN","EOP","NOW","LL/NOW","LL/SLP/NOW","LL/SLP/EOP"},
        PRICING[SKU],
        Rebate_Lookup[[#This Row],[SKU CODE]],
        PRICING[Set],
        2
    )
)</f>
        <v>100</v>
      </c>
      <c r="L71" s="5" cm="1">
        <f t="array" ref="L71">SUM(
    SUMIFS(
        PRICING[Rebate $],
        PRICING[Program],
        {"EOP/ORN","ORN","EOP","NOW","LL/NOW","LL/SLP/NOW","LL/SLP/EOP"},
        PRICING[SKU],
        Rebate_Lookup[[#This Row],[SKU CODE]],
        PRICING[Set],
        3
    )
)</f>
        <v>0</v>
      </c>
      <c r="M71" s="5" cm="1">
        <f t="array" ref="M71">SUM(
    SUMIFS(
        PRICING[Rebate $],
        PRICING[Program],
        {"EOP/ORN","ORN","EOP","NOW","LL/NOW","LL/SLP/NOW","LL/SLP/EOP"},
        PRICING[SKU],
        Rebate_Lookup[[#This Row],[SKU CODE]],
        PRICING[Set],
        4
    )
)</f>
        <v>0</v>
      </c>
      <c r="N71" s="5">
        <f>INDEX(Estimates!H:H,MATCH(Rebate_Lookup[[#This Row],[SKU CODE]],Estimates!A:A,0))</f>
        <v>0</v>
      </c>
      <c r="O71"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71" s="5">
        <f>COUNTIF(Estimates!A:A,Rebate_Lookup[[#This Row],[SKU CODE]])</f>
        <v>1</v>
      </c>
      <c r="Q71" s="6" t="b">
        <f>IFERROR(Rebate_Lookup[[#This Row],[Order Form Quantity]]&gt;=Rebate_Lookup[[#This Row],[MOQ_2]],0)</f>
        <v>0</v>
      </c>
    </row>
    <row r="72" spans="1:17" x14ac:dyDescent="0.2">
      <c r="A72" s="168">
        <v>11015981</v>
      </c>
      <c r="B72" s="5" t="str">
        <f>INDEX(PRICING[Agency/TT],MATCH(Rebate_Lookup[[#This Row],[SKU CODE]],PRICING[SKU],0))</f>
        <v>A</v>
      </c>
      <c r="C72" s="5" t="str">
        <f>INDEX(PRICING[Product],MATCH(Rebate_Lookup[[#This Row],[SKU CODE]],PRICING[SKU],0))</f>
        <v>Tarvecta™</v>
      </c>
      <c r="D72" s="5" t="str">
        <f>INDEX(PRICING[Size],MATCH(Rebate_Lookup[[#This Row],[SKU CODE]],PRICING[SKU],0))</f>
        <v>64 oz</v>
      </c>
      <c r="E72" s="5" cm="1">
        <f t="array" ref="E72">SUM(COUNTIFS(
    PRICING[Program],{"EOP/ORN","ORN","EOP","NOW","LL/NOW","LL/SLP/NOW","LL/SLP/EOP"},
    PRICING[SKU],A72
))</f>
        <v>2</v>
      </c>
      <c r="F72" s="5" cm="1">
        <f t="array" ref="F72">IFERROR(
MIN(
_xlfn._xlws.FILTER(
--_xlfn.TEXTBEFORE(
SUBSTITUTE(
SUBSTITUTE(PRICING[Min Qty],"+"," "),
"-"," "
),
" "
),
(PRICING[SKU]=$A72)*
(PRICING[Set]=1)*
(PRICING[Rebate $]&lt;&gt;0)*
(PRICING[Rebate $]&lt;&gt;"")
)
),
0
)</f>
        <v>1</v>
      </c>
      <c r="G72" s="5" cm="1">
        <f t="array" ref="G72">IFERROR(
MIN(
_xlfn._xlws.FILTER(
--_xlfn.TEXTBEFORE(
SUBSTITUTE(
SUBSTITUTE(PRICING[Min Qty],"+"," "),
"-"," "
),
" "
),
(PRICING[SKU]=$A72)*
(PRICING[Set]=2)*
(PRICING[Rebate $]&lt;&gt;0)*
(PRICING[Rebate $]&lt;&gt;"")
)
),
0
)</f>
        <v>3</v>
      </c>
      <c r="H72" s="5" cm="1">
        <f t="array" ref="H72">IFERROR(
MIN(
_xlfn._xlws.FILTER(
--_xlfn.TEXTBEFORE(
SUBSTITUTE(
SUBSTITUTE(PRICING[Min Qty],"+"," "),
"-"," "
),
" "
),
(PRICING[SKU]=$A72)*
(PRICING[Set]=3)*
(PRICING[Rebate $]&lt;&gt;0)*
(PRICING[Rebate $]&lt;&gt;"")
)
),
0
)</f>
        <v>0</v>
      </c>
      <c r="I72" s="5" cm="1">
        <f t="array" ref="I72">IFERROR(
MIN(
_xlfn._xlws.FILTER(
--_xlfn.TEXTBEFORE(
SUBSTITUTE(
SUBSTITUTE(PRICING[Min Qty],"+"," "),
"-"," "
),
" "
),
(PRICING[SKU]=$A72)*
(PRICING[Set]=4)*
(PRICING[Rebate $]&lt;&gt;0)*
(PRICING[Rebate $]&lt;&gt;"")
)
),
0
)</f>
        <v>0</v>
      </c>
      <c r="J72" s="5" cm="1">
        <f t="array" ref="J72">SUM(
    SUMIFS(
        PRICING[Rebate $],
        PRICING[Program],
        {"EOP/ORN","ORN","EOP","NOW","LL/NOW","LL/SLP/NOW","LL/SLP/EOP"},
        PRICING[SKU],
        Rebate_Lookup[[#This Row],[SKU CODE]],
        PRICING[Set],
        1
    )
)</f>
        <v>32</v>
      </c>
      <c r="K72" s="5" cm="1">
        <f t="array" ref="K72">SUM(
    SUMIFS(
        PRICING[Rebate $],
        PRICING[Program],
        {"EOP/ORN","ORN","EOP","NOW","LL/NOW","LL/SLP/NOW","LL/SLP/EOP"},
        PRICING[SKU],
        Rebate_Lookup[[#This Row],[SKU CODE]],
        PRICING[Set],
        2
    )
)</f>
        <v>73</v>
      </c>
      <c r="L72" s="5" cm="1">
        <f t="array" ref="L72">SUM(
    SUMIFS(
        PRICING[Rebate $],
        PRICING[Program],
        {"EOP/ORN","ORN","EOP","NOW","LL/NOW","LL/SLP/NOW","LL/SLP/EOP"},
        PRICING[SKU],
        Rebate_Lookup[[#This Row],[SKU CODE]],
        PRICING[Set],
        3
    )
)</f>
        <v>0</v>
      </c>
      <c r="M72" s="5" cm="1">
        <f t="array" ref="M72">SUM(
    SUMIFS(
        PRICING[Rebate $],
        PRICING[Program],
        {"EOP/ORN","ORN","EOP","NOW","LL/NOW","LL/SLP/NOW","LL/SLP/EOP"},
        PRICING[SKU],
        Rebate_Lookup[[#This Row],[SKU CODE]],
        PRICING[Set],
        4
    )
)</f>
        <v>0</v>
      </c>
      <c r="N72" s="5">
        <f>INDEX(Estimates!H:H,MATCH(Rebate_Lookup[[#This Row],[SKU CODE]],Estimates!A:A,0))</f>
        <v>0</v>
      </c>
      <c r="O72" s="5"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72" s="5">
        <f>COUNTIF(Estimates!A:A,Rebate_Lookup[[#This Row],[SKU CODE]])</f>
        <v>1</v>
      </c>
      <c r="Q72" s="6" t="b">
        <f>IFERROR(Rebate_Lookup[[#This Row],[Order Form Quantity]]&gt;=Rebate_Lookup[[#This Row],[MOQ_2]],0)</f>
        <v>0</v>
      </c>
    </row>
    <row r="73" spans="1:17" x14ac:dyDescent="0.2">
      <c r="A73" s="168">
        <v>11015990</v>
      </c>
      <c r="B73" s="5" t="str">
        <f>INDEX(PRICING[Agency/TT],MATCH(Rebate_Lookup[[#This Row],[SKU CODE]],PRICING[SKU],0))</f>
        <v>A</v>
      </c>
      <c r="C73" s="5" t="str">
        <f>INDEX(PRICING[Product],MATCH(Rebate_Lookup[[#This Row],[SKU CODE]],PRICING[SKU],0))</f>
        <v>Tarvecta™</v>
      </c>
      <c r="D73" s="5" t="str">
        <f>INDEX(PRICING[Size],MATCH(Rebate_Lookup[[#This Row],[SKU CODE]],PRICING[SKU],0))</f>
        <v>2.5 gal</v>
      </c>
      <c r="E73" s="5" cm="1">
        <f t="array" ref="E73">SUM(COUNTIFS(
    PRICING[Program],{"EOP/ORN","ORN","EOP","NOW","LL/NOW","LL/SLP/NOW","LL/SLP/EOP"},
    PRICING[SKU],A73
))</f>
        <v>2</v>
      </c>
      <c r="F73" s="5" cm="1">
        <f t="array" ref="F73">IFERROR(
MIN(
_xlfn._xlws.FILTER(
--_xlfn.TEXTBEFORE(
SUBSTITUTE(
SUBSTITUTE(PRICING[Min Qty],"+"," "),
"-"," "
),
" "
),
(PRICING[SKU]=$A73)*
(PRICING[Set]=1)*
(PRICING[Rebate $]&lt;&gt;0)*
(PRICING[Rebate $]&lt;&gt;"")
)
),
0
)</f>
        <v>1</v>
      </c>
      <c r="G73" s="5" cm="1">
        <f t="array" ref="G73">IFERROR(
MIN(
_xlfn._xlws.FILTER(
--_xlfn.TEXTBEFORE(
SUBSTITUTE(
SUBSTITUTE(PRICING[Min Qty],"+"," "),
"-"," "
),
" "
),
(PRICING[SKU]=$A73)*
(PRICING[Set]=2)*
(PRICING[Rebate $]&lt;&gt;0)*
(PRICING[Rebate $]&lt;&gt;"")
)
),
0
)</f>
        <v>4</v>
      </c>
      <c r="H73" s="5" cm="1">
        <f t="array" ref="H73">IFERROR(
MIN(
_xlfn._xlws.FILTER(
--_xlfn.TEXTBEFORE(
SUBSTITUTE(
SUBSTITUTE(PRICING[Min Qty],"+"," "),
"-"," "
),
" "
),
(PRICING[SKU]=$A73)*
(PRICING[Set]=3)*
(PRICING[Rebate $]&lt;&gt;0)*
(PRICING[Rebate $]&lt;&gt;"")
)
),
0
)</f>
        <v>0</v>
      </c>
      <c r="I73" s="5" cm="1">
        <f t="array" ref="I73">IFERROR(
MIN(
_xlfn._xlws.FILTER(
--_xlfn.TEXTBEFORE(
SUBSTITUTE(
SUBSTITUTE(PRICING[Min Qty],"+"," "),
"-"," "
),
" "
),
(PRICING[SKU]=$A73)*
(PRICING[Set]=4)*
(PRICING[Rebate $]&lt;&gt;0)*
(PRICING[Rebate $]&lt;&gt;"")
)
),
0
)</f>
        <v>0</v>
      </c>
      <c r="J73" s="5" cm="1">
        <f t="array" ref="J73">SUM(
    SUMIFS(
        PRICING[Rebate $],
        PRICING[Program],
        {"EOP/ORN","ORN","EOP","NOW","LL/NOW","LL/SLP/NOW","LL/SLP/EOP"},
        PRICING[SKU],
        Rebate_Lookup[[#This Row],[SKU CODE]],
        PRICING[Set],
        1
    )
)</f>
        <v>140</v>
      </c>
      <c r="K73" s="5" cm="1">
        <f t="array" ref="K73">SUM(
    SUMIFS(
        PRICING[Rebate $],
        PRICING[Program],
        {"EOP/ORN","ORN","EOP","NOW","LL/NOW","LL/SLP/NOW","LL/SLP/EOP"},
        PRICING[SKU],
        Rebate_Lookup[[#This Row],[SKU CODE]],
        PRICING[Set],
        2
    )
)</f>
        <v>200</v>
      </c>
      <c r="L73" s="5" cm="1">
        <f t="array" ref="L73">SUM(
    SUMIFS(
        PRICING[Rebate $],
        PRICING[Program],
        {"EOP/ORN","ORN","EOP","NOW","LL/NOW","LL/SLP/NOW","LL/SLP/EOP"},
        PRICING[SKU],
        Rebate_Lookup[[#This Row],[SKU CODE]],
        PRICING[Set],
        3
    )
)</f>
        <v>0</v>
      </c>
      <c r="M73" s="5" cm="1">
        <f t="array" ref="M73">SUM(
    SUMIFS(
        PRICING[Rebate $],
        PRICING[Program],
        {"EOP/ORN","ORN","EOP","NOW","LL/NOW","LL/SLP/NOW","LL/SLP/EOP"},
        PRICING[SKU],
        Rebate_Lookup[[#This Row],[SKU CODE]],
        PRICING[Set],
        4
    )
)</f>
        <v>0</v>
      </c>
      <c r="N73" s="5">
        <f>INDEX(Estimates!H:H,MATCH(Rebate_Lookup[[#This Row],[SKU CODE]],Estimates!A:A,0))</f>
        <v>0</v>
      </c>
      <c r="O73" s="5"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73" s="5">
        <f>COUNTIF(Estimates!A:A,Rebate_Lookup[[#This Row],[SKU CODE]])</f>
        <v>1</v>
      </c>
      <c r="Q73" s="6" t="b">
        <f>IFERROR(Rebate_Lookup[[#This Row],[Order Form Quantity]]&gt;=Rebate_Lookup[[#This Row],[MOQ_2]],0)</f>
        <v>0</v>
      </c>
    </row>
    <row r="74" spans="1:17" hidden="1" x14ac:dyDescent="0.2">
      <c r="A74" s="169" t="s">
        <v>98</v>
      </c>
      <c r="B74" s="5" t="str">
        <f>INDEX(PRICING[Agency/TT],MATCH(Rebate_Lookup[[#This Row],[SKU CODE]],PRICING[SKU],0))</f>
        <v>TT</v>
      </c>
      <c r="C74" s="5" t="str">
        <f>INDEX(PRICING[Product],MATCH(Rebate_Lookup[[#This Row],[SKU CODE]],PRICING[SKU],0))</f>
        <v>TopChoice®</v>
      </c>
      <c r="D74" s="5" t="str">
        <f>INDEX(PRICING[Size],MATCH(Rebate_Lookup[[#This Row],[SKU CODE]],PRICING[SKU],0))</f>
        <v>50 lb</v>
      </c>
      <c r="E74" s="5" cm="1">
        <f t="array" ref="E74">SUM(COUNTIFS(
    PRICING[Program],{"EOP/ORN","ORN","EOP","NOW","LL/NOW","LL/SLP/NOW","LL/SLP/EOP"},
    PRICING[SKU],A74
))</f>
        <v>1</v>
      </c>
      <c r="F74" s="5" cm="1">
        <f t="array" ref="F74">IFERROR(
MIN(
_xlfn._xlws.FILTER(
--_xlfn.TEXTBEFORE(
SUBSTITUTE(
SUBSTITUTE(PRICING[Min Qty],"+"," "),
"-"," "
),
" "
),
(PRICING[SKU]=$A74)*
(PRICING[Set]=1)*
(PRICING[Rebate $]&lt;&gt;0)*
(PRICING[Rebate $]&lt;&gt;"")
)
),
0
)</f>
        <v>0</v>
      </c>
      <c r="G74" s="5" cm="1">
        <f t="array" ref="G74">IFERROR(
MIN(
_xlfn._xlws.FILTER(
--_xlfn.TEXTBEFORE(
SUBSTITUTE(
SUBSTITUTE(PRICING[Min Qty],"+"," "),
"-"," "
),
" "
),
(PRICING[SKU]=$A74)*
(PRICING[Set]=2)*
(PRICING[Rebate $]&lt;&gt;0)*
(PRICING[Rebate $]&lt;&gt;"")
)
),
0
)</f>
        <v>0</v>
      </c>
      <c r="H74" s="5" cm="1">
        <f t="array" ref="H74">IFERROR(
MIN(
_xlfn._xlws.FILTER(
--_xlfn.TEXTBEFORE(
SUBSTITUTE(
SUBSTITUTE(PRICING[Min Qty],"+"," "),
"-"," "
),
" "
),
(PRICING[SKU]=$A74)*
(PRICING[Set]=3)*
(PRICING[Rebate $]&lt;&gt;0)*
(PRICING[Rebate $]&lt;&gt;"")
)
),
0
)</f>
        <v>0</v>
      </c>
      <c r="I74" s="5" cm="1">
        <f t="array" ref="I74">IFERROR(
MIN(
_xlfn._xlws.FILTER(
--_xlfn.TEXTBEFORE(
SUBSTITUTE(
SUBSTITUTE(PRICING[Min Qty],"+"," "),
"-"," "
),
" "
),
(PRICING[SKU]=$A74)*
(PRICING[Set]=4)*
(PRICING[Rebate $]&lt;&gt;0)*
(PRICING[Rebate $]&lt;&gt;"")
)
),
0
)</f>
        <v>0</v>
      </c>
      <c r="J74" s="5" cm="1">
        <f t="array" ref="J74">SUM(
    SUMIFS(
        PRICING[Rebate $],
        PRICING[Program],
        {"EOP/ORN","ORN","EOP","NOW","LL/NOW","LL/SLP/NOW","LL/SLP/EOP"},
        PRICING[SKU],
        Rebate_Lookup[[#This Row],[SKU CODE]],
        PRICING[Set],
        1
    )
)</f>
        <v>2</v>
      </c>
      <c r="K74" s="5" cm="1">
        <f t="array" ref="K74">SUM(
    SUMIFS(
        PRICING[Rebate $],
        PRICING[Program],
        {"EOP/ORN","ORN","EOP","NOW","LL/NOW","LL/SLP/NOW","LL/SLP/EOP"},
        PRICING[SKU],
        Rebate_Lookup[[#This Row],[SKU CODE]],
        PRICING[Set],
        2
    )
)</f>
        <v>0</v>
      </c>
      <c r="L74" s="5" cm="1">
        <f t="array" ref="L74">SUM(
    SUMIFS(
        PRICING[Rebate $],
        PRICING[Program],
        {"EOP/ORN","ORN","EOP","NOW","LL/NOW","LL/SLP/NOW","LL/SLP/EOP"},
        PRICING[SKU],
        Rebate_Lookup[[#This Row],[SKU CODE]],
        PRICING[Set],
        3
    )
)</f>
        <v>0</v>
      </c>
      <c r="M74" s="5" cm="1">
        <f t="array" ref="M74">SUM(
    SUMIFS(
        PRICING[Rebate $],
        PRICING[Program],
        {"EOP/ORN","ORN","EOP","NOW","LL/NOW","LL/SLP/NOW","LL/SLP/EOP"},
        PRICING[SKU],
        Rebate_Lookup[[#This Row],[SKU CODE]],
        PRICING[Set],
        4
    )
)</f>
        <v>0</v>
      </c>
      <c r="N74" s="5">
        <f>INDEX(Estimates!H:H,MATCH(Rebate_Lookup[[#This Row],[SKU CODE]],Estimates!A:A,0))</f>
        <v>0</v>
      </c>
      <c r="O74"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74" s="5">
        <f>COUNTIF(Estimates!A:A,Rebate_Lookup[[#This Row],[SKU CODE]])</f>
        <v>1</v>
      </c>
      <c r="Q74" s="6" t="b">
        <f>IFERROR(Rebate_Lookup[[#This Row],[Order Form Quantity]]&gt;=Rebate_Lookup[[#This Row],[MOQ_2]],0)</f>
        <v>1</v>
      </c>
    </row>
    <row r="75" spans="1:17" x14ac:dyDescent="0.2">
      <c r="A75" s="171">
        <v>86797658</v>
      </c>
      <c r="B75" s="5" t="str">
        <f>INDEX(PRICING[Agency/TT],MATCH(Rebate_Lookup[[#This Row],[SKU CODE]],PRICING[SKU],0))</f>
        <v>A</v>
      </c>
      <c r="C75" s="5" t="str">
        <f>INDEX(PRICING[Product],MATCH(Rebate_Lookup[[#This Row],[SKU CODE]],PRICING[SKU],0))</f>
        <v>Tetrino®</v>
      </c>
      <c r="D75" s="5" t="str">
        <f>INDEX(PRICING[Size],MATCH(Rebate_Lookup[[#This Row],[SKU CODE]],PRICING[SKU],0))</f>
        <v> 1 gal</v>
      </c>
      <c r="E75" s="5" cm="1">
        <f t="array" ref="E75">SUM(COUNTIFS(
    PRICING[Program],{"EOP/ORN","ORN","EOP","NOW","LL/NOW","LL/SLP/NOW","LL/SLP/EOP"},
    PRICING[SKU],A75
))</f>
        <v>2</v>
      </c>
      <c r="F75" s="5" cm="1">
        <f t="array" ref="F75">IFERROR(
MIN(
_xlfn._xlws.FILTER(
--_xlfn.TEXTBEFORE(
SUBSTITUTE(
SUBSTITUTE(PRICING[Min Qty],"+"," "),
"-"," "
),
" "
),
(PRICING[SKU]=$A75)*
(PRICING[Set]=1)*
(PRICING[Rebate $]&lt;&gt;0)*
(PRICING[Rebate $]&lt;&gt;"")
)
),
0
)</f>
        <v>1</v>
      </c>
      <c r="G75" s="5" cm="1">
        <f t="array" ref="G75">IFERROR(
MIN(
_xlfn._xlws.FILTER(
--_xlfn.TEXTBEFORE(
SUBSTITUTE(
SUBSTITUTE(PRICING[Min Qty],"+"," "),
"-"," "
),
" "
),
(PRICING[SKU]=$A75)*
(PRICING[Set]=2)*
(PRICING[Rebate $]&lt;&gt;0)*
(PRICING[Rebate $]&lt;&gt;"")
)
),
0
)</f>
        <v>5</v>
      </c>
      <c r="H75" s="5" cm="1">
        <f t="array" ref="H75">IFERROR(
MIN(
_xlfn._xlws.FILTER(
--_xlfn.TEXTBEFORE(
SUBSTITUTE(
SUBSTITUTE(PRICING[Min Qty],"+"," "),
"-"," "
),
" "
),
(PRICING[SKU]=$A75)*
(PRICING[Set]=3)*
(PRICING[Rebate $]&lt;&gt;0)*
(PRICING[Rebate $]&lt;&gt;"")
)
),
0
)</f>
        <v>0</v>
      </c>
      <c r="I75" s="5" cm="1">
        <f t="array" ref="I75">IFERROR(
MIN(
_xlfn._xlws.FILTER(
--_xlfn.TEXTBEFORE(
SUBSTITUTE(
SUBSTITUTE(PRICING[Min Qty],"+"," "),
"-"," "
),
" "
),
(PRICING[SKU]=$A75)*
(PRICING[Set]=4)*
(PRICING[Rebate $]&lt;&gt;0)*
(PRICING[Rebate $]&lt;&gt;"")
)
),
0
)</f>
        <v>0</v>
      </c>
      <c r="J75" s="5" cm="1">
        <f t="array" ref="J75">SUM(
    SUMIFS(
        PRICING[Rebate $],
        PRICING[Program],
        {"EOP/ORN","ORN","EOP","NOW","LL/NOW","LL/SLP/NOW","LL/SLP/EOP"},
        PRICING[SKU],
        Rebate_Lookup[[#This Row],[SKU CODE]],
        PRICING[Set],
        1
    )
)</f>
        <v>40</v>
      </c>
      <c r="K75" s="5" cm="1">
        <f t="array" ref="K75">SUM(
    SUMIFS(
        PRICING[Rebate $],
        PRICING[Program],
        {"EOP/ORN","ORN","EOP","NOW","LL/NOW","LL/SLP/NOW","LL/SLP/EOP"},
        PRICING[SKU],
        Rebate_Lookup[[#This Row],[SKU CODE]],
        PRICING[Set],
        2
    )
)</f>
        <v>160</v>
      </c>
      <c r="L75" s="5" cm="1">
        <f t="array" ref="L75">SUM(
    SUMIFS(
        PRICING[Rebate $],
        PRICING[Program],
        {"EOP/ORN","ORN","EOP","NOW","LL/NOW","LL/SLP/NOW","LL/SLP/EOP"},
        PRICING[SKU],
        Rebate_Lookup[[#This Row],[SKU CODE]],
        PRICING[Set],
        3
    )
)</f>
        <v>0</v>
      </c>
      <c r="M75" s="5" cm="1">
        <f t="array" ref="M75">SUM(
    SUMIFS(
        PRICING[Rebate $],
        PRICING[Program],
        {"EOP/ORN","ORN","EOP","NOW","LL/NOW","LL/SLP/NOW","LL/SLP/EOP"},
        PRICING[SKU],
        Rebate_Lookup[[#This Row],[SKU CODE]],
        PRICING[Set],
        4
    )
)</f>
        <v>0</v>
      </c>
      <c r="N75" s="5">
        <f>INDEX(Estimates!H:H,MATCH(Rebate_Lookup[[#This Row],[SKU CODE]],Estimates!A:A,0))</f>
        <v>0</v>
      </c>
      <c r="O75" s="5"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75" s="5">
        <f>COUNTIF(Estimates!A:A,Rebate_Lookup[[#This Row],[SKU CODE]])</f>
        <v>1</v>
      </c>
      <c r="Q75" s="6" t="b">
        <f>IFERROR(Rebate_Lookup[[#This Row],[Order Form Quantity]]&gt;=Rebate_Lookup[[#This Row],[MOQ_2]],0)</f>
        <v>0</v>
      </c>
    </row>
    <row r="76" spans="1:17" x14ac:dyDescent="0.2">
      <c r="A76" s="168">
        <v>81746257</v>
      </c>
      <c r="B76" s="5" t="str">
        <f>INDEX(PRICING[Agency/TT],MATCH(Rebate_Lookup[[#This Row],[SKU CODE]],PRICING[SKU],0))</f>
        <v>A</v>
      </c>
      <c r="C76" s="5" t="str">
        <f>INDEX(PRICING[Product],MATCH(Rebate_Lookup[[#This Row],[SKU CODE]],PRICING[SKU],0))</f>
        <v>Tribute® Total</v>
      </c>
      <c r="D76" s="5" t="str">
        <f>INDEX(PRICING[Size],MATCH(Rebate_Lookup[[#This Row],[SKU CODE]],PRICING[SKU],0))</f>
        <v>6 oz</v>
      </c>
      <c r="E76" s="5" cm="1">
        <f t="array" ref="E76">SUM(COUNTIFS(
    PRICING[Program],{"EOP/ORN","ORN","EOP","NOW","LL/NOW","LL/SLP/NOW","LL/SLP/EOP"},
    PRICING[SKU],A76
))</f>
        <v>2</v>
      </c>
      <c r="F76" s="5" cm="1">
        <f t="array" ref="F76">IFERROR(
MIN(
_xlfn._xlws.FILTER(
--_xlfn.TEXTBEFORE(
SUBSTITUTE(
SUBSTITUTE(PRICING[Min Qty],"+"," "),
"-"," "
),
" "
),
(PRICING[SKU]=$A76)*
(PRICING[Set]=1)*
(PRICING[Rebate $]&lt;&gt;0)*
(PRICING[Rebate $]&lt;&gt;"")
)
),
0
)</f>
        <v>0</v>
      </c>
      <c r="G76" s="5" cm="1">
        <f t="array" ref="G76">IFERROR(
MIN(
_xlfn._xlws.FILTER(
--_xlfn.TEXTBEFORE(
SUBSTITUTE(
SUBSTITUTE(PRICING[Min Qty],"+"," "),
"-"," "
),
" "
),
(PRICING[SKU]=$A76)*
(PRICING[Set]=2)*
(PRICING[Rebate $]&lt;&gt;0)*
(PRICING[Rebate $]&lt;&gt;"")
)
),
0
)</f>
        <v>6</v>
      </c>
      <c r="H76" s="5" cm="1">
        <f t="array" ref="H76">IFERROR(
MIN(
_xlfn._xlws.FILTER(
--_xlfn.TEXTBEFORE(
SUBSTITUTE(
SUBSTITUTE(PRICING[Min Qty],"+"," "),
"-"," "
),
" "
),
(PRICING[SKU]=$A76)*
(PRICING[Set]=3)*
(PRICING[Rebate $]&lt;&gt;0)*
(PRICING[Rebate $]&lt;&gt;"")
)
),
0
)</f>
        <v>0</v>
      </c>
      <c r="I76" s="5" cm="1">
        <f t="array" ref="I76">IFERROR(
MIN(
_xlfn._xlws.FILTER(
--_xlfn.TEXTBEFORE(
SUBSTITUTE(
SUBSTITUTE(PRICING[Min Qty],"+"," "),
"-"," "
),
" "
),
(PRICING[SKU]=$A76)*
(PRICING[Set]=4)*
(PRICING[Rebate $]&lt;&gt;0)*
(PRICING[Rebate $]&lt;&gt;"")
)
),
0
)</f>
        <v>0</v>
      </c>
      <c r="J76" s="5" cm="1">
        <f t="array" ref="J76">SUM(
    SUMIFS(
        PRICING[Rebate $],
        PRICING[Program],
        {"EOP/ORN","ORN","EOP","NOW","LL/NOW","LL/SLP/NOW","LL/SLP/EOP"},
        PRICING[SKU],
        Rebate_Lookup[[#This Row],[SKU CODE]],
        PRICING[Set],
        1
    )
)</f>
        <v>0</v>
      </c>
      <c r="K76" s="5" cm="1">
        <f t="array" ref="K76">SUM(
    SUMIFS(
        PRICING[Rebate $],
        PRICING[Program],
        {"EOP/ORN","ORN","EOP","NOW","LL/NOW","LL/SLP/NOW","LL/SLP/EOP"},
        PRICING[SKU],
        Rebate_Lookup[[#This Row],[SKU CODE]],
        PRICING[Set],
        2
    )
)</f>
        <v>40</v>
      </c>
      <c r="L76" s="5" cm="1">
        <f t="array" ref="L76">SUM(
    SUMIFS(
        PRICING[Rebate $],
        PRICING[Program],
        {"EOP/ORN","ORN","EOP","NOW","LL/NOW","LL/SLP/NOW","LL/SLP/EOP"},
        PRICING[SKU],
        Rebate_Lookup[[#This Row],[SKU CODE]],
        PRICING[Set],
        3
    )
)</f>
        <v>0</v>
      </c>
      <c r="M76" s="5" cm="1">
        <f t="array" ref="M76">SUM(
    SUMIFS(
        PRICING[Rebate $],
        PRICING[Program],
        {"EOP/ORN","ORN","EOP","NOW","LL/NOW","LL/SLP/NOW","LL/SLP/EOP"},
        PRICING[SKU],
        Rebate_Lookup[[#This Row],[SKU CODE]],
        PRICING[Set],
        4
    )
)</f>
        <v>0</v>
      </c>
      <c r="N76" s="5">
        <f>INDEX(Estimates!H:H,MATCH(Rebate_Lookup[[#This Row],[SKU CODE]],Estimates!A:A,0))</f>
        <v>0</v>
      </c>
      <c r="O76" s="5">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76" s="5">
        <f>COUNTIF(Estimates!A:A,Rebate_Lookup[[#This Row],[SKU CODE]])</f>
        <v>1</v>
      </c>
      <c r="Q76" s="6" t="b">
        <f>IFERROR(Rebate_Lookup[[#This Row],[Order Form Quantity]]&gt;=Rebate_Lookup[[#This Row],[MOQ_2]],0)</f>
        <v>0</v>
      </c>
    </row>
    <row r="77" spans="1:17" x14ac:dyDescent="0.2">
      <c r="A77" s="168">
        <v>11008521</v>
      </c>
      <c r="B77" s="94" t="str">
        <f>INDEX(PRICING[Agency/TT],MATCH(Rebate_Lookup[[#This Row],[SKU CODE]],PRICING[SKU],0))</f>
        <v>A</v>
      </c>
      <c r="C77" s="94" t="str">
        <f>INDEX(PRICING[Product],MATCH(Rebate_Lookup[[#This Row],[SKU CODE]],PRICING[SKU],0))</f>
        <v>Triple Crown® Golf Insecticide (RUP)</v>
      </c>
      <c r="D77" s="94" t="str">
        <f>INDEX(PRICING[Size],MATCH(Rebate_Lookup[[#This Row],[SKU CODE]],PRICING[SKU],0))</f>
        <v>1 gal</v>
      </c>
      <c r="E77" s="94" cm="1">
        <f t="array" ref="E77">SUM(COUNTIFS(
    PRICING[Program],{"EOP/ORN","ORN","EOP","NOW","LL/NOW","LL/SLP/NOW","LL/SLP/EOP"},
    PRICING[SKU],A77
))</f>
        <v>2</v>
      </c>
      <c r="F77" s="94" cm="1">
        <f t="array" ref="F77">IFERROR(
MIN(
_xlfn._xlws.FILTER(
--_xlfn.TEXTBEFORE(
SUBSTITUTE(
SUBSTITUTE(PRICING[Min Qty],"+"," "),
"-"," "
),
" "
),
(PRICING[SKU]=$A77)*
(PRICING[Set]=1)*
(PRICING[Rebate $]&lt;&gt;0)*
(PRICING[Rebate $]&lt;&gt;"")
)
),
0
)</f>
        <v>0</v>
      </c>
      <c r="G77" s="94" cm="1">
        <f t="array" ref="G77">IFERROR(
MIN(
_xlfn._xlws.FILTER(
--_xlfn.TEXTBEFORE(
SUBSTITUTE(
SUBSTITUTE(PRICING[Min Qty],"+"," "),
"-"," "
),
" "
),
(PRICING[SKU]=$A77)*
(PRICING[Set]=2)*
(PRICING[Rebate $]&lt;&gt;0)*
(PRICING[Rebate $]&lt;&gt;"")
)
),
0
)</f>
        <v>8</v>
      </c>
      <c r="H77" s="94" cm="1">
        <f t="array" ref="H77">IFERROR(
MIN(
_xlfn._xlws.FILTER(
--_xlfn.TEXTBEFORE(
SUBSTITUTE(
SUBSTITUTE(PRICING[Min Qty],"+"," "),
"-"," "
),
" "
),
(PRICING[SKU]=$A77)*
(PRICING[Set]=3)*
(PRICING[Rebate $]&lt;&gt;0)*
(PRICING[Rebate $]&lt;&gt;"")
)
),
0
)</f>
        <v>0</v>
      </c>
      <c r="I77" s="94" cm="1">
        <f t="array" ref="I77">IFERROR(
MIN(
_xlfn._xlws.FILTER(
--_xlfn.TEXTBEFORE(
SUBSTITUTE(
SUBSTITUTE(PRICING[Min Qty],"+"," "),
"-"," "
),
" "
),
(PRICING[SKU]=$A77)*
(PRICING[Set]=4)*
(PRICING[Rebate $]&lt;&gt;0)*
(PRICING[Rebate $]&lt;&gt;"")
)
),
0
)</f>
        <v>0</v>
      </c>
      <c r="J77" s="94" cm="1">
        <f t="array" ref="J77">SUM(
    SUMIFS(
        PRICING[Rebate $],
        PRICING[Program],
        {"EOP/ORN","ORN","EOP","NOW","LL/NOW","LL/SLP/NOW","LL/SLP/EOP"},
        PRICING[SKU],
        Rebate_Lookup[[#This Row],[SKU CODE]],
        PRICING[Set],
        1
    )
)</f>
        <v>0</v>
      </c>
      <c r="K77" s="94" cm="1">
        <f t="array" ref="K77">SUM(
    SUMIFS(
        PRICING[Rebate $],
        PRICING[Program],
        {"EOP/ORN","ORN","EOP","NOW","LL/NOW","LL/SLP/NOW","LL/SLP/EOP"},
        PRICING[SKU],
        Rebate_Lookup[[#This Row],[SKU CODE]],
        PRICING[Set],
        2
    )
)</f>
        <v>10</v>
      </c>
      <c r="L77" s="94" cm="1">
        <f t="array" ref="L77">SUM(
    SUMIFS(
        PRICING[Rebate $],
        PRICING[Program],
        {"EOP/ORN","ORN","EOP","NOW","LL/NOW","LL/SLP/NOW","LL/SLP/EOP"},
        PRICING[SKU],
        Rebate_Lookup[[#This Row],[SKU CODE]],
        PRICING[Set],
        3
    )
)</f>
        <v>0</v>
      </c>
      <c r="M77" s="94" cm="1">
        <f t="array" ref="M77">SUM(
    SUMIFS(
        PRICING[Rebate $],
        PRICING[Program],
        {"EOP/ORN","ORN","EOP","NOW","LL/NOW","LL/SLP/NOW","LL/SLP/EOP"},
        PRICING[SKU],
        Rebate_Lookup[[#This Row],[SKU CODE]],
        PRICING[Set],
        4
    )
)</f>
        <v>0</v>
      </c>
      <c r="N77" s="94">
        <f>INDEX(Estimates!H:H,MATCH(Rebate_Lookup[[#This Row],[SKU CODE]],Estimates!A:A,0))</f>
        <v>0</v>
      </c>
      <c r="O77" s="94">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77" s="94">
        <f>COUNTIF(Estimates!A:A,Rebate_Lookup[[#This Row],[SKU CODE]])</f>
        <v>1</v>
      </c>
      <c r="Q77" s="95" t="b">
        <f>IFERROR(Rebate_Lookup[[#This Row],[Order Form Quantity]]&gt;=Rebate_Lookup[[#This Row],[MOQ_2]],0)</f>
        <v>0</v>
      </c>
    </row>
    <row r="78" spans="1:17" x14ac:dyDescent="0.2">
      <c r="A78" s="168">
        <v>11008590</v>
      </c>
      <c r="B78" s="94" t="str">
        <f>INDEX(PRICING[Agency/TT],MATCH(Rebate_Lookup[[#This Row],[SKU CODE]],PRICING[SKU],0))</f>
        <v>A</v>
      </c>
      <c r="C78" s="94" t="str">
        <f>INDEX(PRICING[Product],MATCH(Rebate_Lookup[[#This Row],[SKU CODE]],PRICING[SKU],0))</f>
        <v>Xonerate® 2SC Herbicide</v>
      </c>
      <c r="D78" s="94" t="str">
        <f>INDEX(PRICING[Size],MATCH(Rebate_Lookup[[#This Row],[SKU CODE]],PRICING[SKU],0))</f>
        <v>12 oz</v>
      </c>
      <c r="E78" s="94" cm="1">
        <f t="array" ref="E78">SUM(COUNTIFS(
    PRICING[Program],{"EOP/ORN","ORN","EOP","NOW","LL/NOW","LL/SLP/NOW","LL/SLP/EOP"},
    PRICING[SKU],A78
))</f>
        <v>2</v>
      </c>
      <c r="F78" s="94" cm="1">
        <f t="array" ref="F78">IFERROR(
MIN(
_xlfn._xlws.FILTER(
--_xlfn.TEXTBEFORE(
SUBSTITUTE(
SUBSTITUTE(PRICING[Min Qty],"+"," "),
"-"," "
),
" "
),
(PRICING[SKU]=$A78)*
(PRICING[Set]=1)*
(PRICING[Rebate $]&lt;&gt;0)*
(PRICING[Rebate $]&lt;&gt;"")
)
),
0
)</f>
        <v>1</v>
      </c>
      <c r="G78" s="94" cm="1">
        <f t="array" ref="G78">IFERROR(
MIN(
_xlfn._xlws.FILTER(
--_xlfn.TEXTBEFORE(
SUBSTITUTE(
SUBSTITUTE(PRICING[Min Qty],"+"," "),
"-"," "
),
" "
),
(PRICING[SKU]=$A78)*
(PRICING[Set]=2)*
(PRICING[Rebate $]&lt;&gt;0)*
(PRICING[Rebate $]&lt;&gt;"")
)
),
0
)</f>
        <v>24</v>
      </c>
      <c r="H78" s="94" cm="1">
        <f t="array" ref="H78">IFERROR(
MIN(
_xlfn._xlws.FILTER(
--_xlfn.TEXTBEFORE(
SUBSTITUTE(
SUBSTITUTE(PRICING[Min Qty],"+"," "),
"-"," "
),
" "
),
(PRICING[SKU]=$A78)*
(PRICING[Set]=3)*
(PRICING[Rebate $]&lt;&gt;0)*
(PRICING[Rebate $]&lt;&gt;"")
)
),
0
)</f>
        <v>0</v>
      </c>
      <c r="I78" s="94" cm="1">
        <f t="array" ref="I78">IFERROR(
MIN(
_xlfn._xlws.FILTER(
--_xlfn.TEXTBEFORE(
SUBSTITUTE(
SUBSTITUTE(PRICING[Min Qty],"+"," "),
"-"," "
),
" "
),
(PRICING[SKU]=$A78)*
(PRICING[Set]=4)*
(PRICING[Rebate $]&lt;&gt;0)*
(PRICING[Rebate $]&lt;&gt;"")
)
),
0
)</f>
        <v>0</v>
      </c>
      <c r="J78" s="94" cm="1">
        <f t="array" ref="J78">SUM(
    SUMIFS(
        PRICING[Rebate $],
        PRICING[Program],
        {"EOP/ORN","ORN","EOP","NOW","LL/NOW","LL/SLP/NOW","LL/SLP/EOP"},
        PRICING[SKU],
        Rebate_Lookup[[#This Row],[SKU CODE]],
        PRICING[Set],
        1
    )
)</f>
        <v>25</v>
      </c>
      <c r="K78" s="94" cm="1">
        <f t="array" ref="K78">SUM(
    SUMIFS(
        PRICING[Rebate $],
        PRICING[Program],
        {"EOP/ORN","ORN","EOP","NOW","LL/NOW","LL/SLP/NOW","LL/SLP/EOP"},
        PRICING[SKU],
        Rebate_Lookup[[#This Row],[SKU CODE]],
        PRICING[Set],
        2
    )
)</f>
        <v>50</v>
      </c>
      <c r="L78" s="94" cm="1">
        <f t="array" ref="L78">SUM(
    SUMIFS(
        PRICING[Rebate $],
        PRICING[Program],
        {"EOP/ORN","ORN","EOP","NOW","LL/NOW","LL/SLP/NOW","LL/SLP/EOP"},
        PRICING[SKU],
        Rebate_Lookup[[#This Row],[SKU CODE]],
        PRICING[Set],
        3
    )
)</f>
        <v>0</v>
      </c>
      <c r="M78" s="94" cm="1">
        <f t="array" ref="M78">SUM(
    SUMIFS(
        PRICING[Rebate $],
        PRICING[Program],
        {"EOP/ORN","ORN","EOP","NOW","LL/NOW","LL/SLP/NOW","LL/SLP/EOP"},
        PRICING[SKU],
        Rebate_Lookup[[#This Row],[SKU CODE]],
        PRICING[Set],
        4
    )
)</f>
        <v>0</v>
      </c>
      <c r="N78" s="94">
        <f>INDEX(Estimates!H:H,MATCH(Rebate_Lookup[[#This Row],[SKU CODE]],Estimates!A:A,0))</f>
        <v>0</v>
      </c>
      <c r="O78" s="94"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78" s="94">
        <f>COUNTIF(Estimates!A:A,Rebate_Lookup[[#This Row],[SKU CODE]])</f>
        <v>1</v>
      </c>
      <c r="Q78" s="95" t="b">
        <f>IFERROR(Rebate_Lookup[[#This Row],[Order Form Quantity]]&gt;=Rebate_Lookup[[#This Row],[MOQ_2]],0)</f>
        <v>0</v>
      </c>
    </row>
    <row r="79" spans="1:17" x14ac:dyDescent="0.2">
      <c r="A79" s="272">
        <v>11008457</v>
      </c>
      <c r="B79" s="94" t="str">
        <f>INDEX(PRICING[Agency/TT],MATCH(Rebate_Lookup[[#This Row],[SKU CODE]],PRICING[SKU],0))</f>
        <v>TT</v>
      </c>
      <c r="C79" s="94" t="str">
        <f>INDEX(PRICING[Product],MATCH(Rebate_Lookup[[#This Row],[SKU CODE]],PRICING[SKU],0))</f>
        <v xml:space="preserve">Talstar® Select Insecticide (RUP) </v>
      </c>
      <c r="D79" s="94" t="str">
        <f>INDEX(PRICING[Size],MATCH(Rebate_Lookup[[#This Row],[SKU CODE]],PRICING[SKU],0))</f>
        <v>1 gal</v>
      </c>
      <c r="E79" s="94" cm="1">
        <f t="array" ref="E79">SUM(COUNTIFS(
    PRICING[Program],{"EOP/ORN","ORN","EOP","NOW","LL/NOW","LL/SLP/NOW","LL/SLP/EOP"},
    PRICING[SKU],A79
))</f>
        <v>1</v>
      </c>
      <c r="F79" s="94" cm="1">
        <f t="array" ref="F79">IFERROR(
MIN(
_xlfn._xlws.FILTER(
--_xlfn.TEXTBEFORE(
SUBSTITUTE(
SUBSTITUTE(PRICING[Min Qty],"+"," "),
"-"," "
),
" "
),
(PRICING[SKU]=$A79)*
(PRICING[Set]=1)*
(PRICING[Rebate $]&lt;&gt;0)*
(PRICING[Rebate $]&lt;&gt;"")
)
),
0
)</f>
        <v>0</v>
      </c>
      <c r="G79" s="94" cm="1">
        <f t="array" ref="G79">IFERROR(
MIN(
_xlfn._xlws.FILTER(
--_xlfn.TEXTBEFORE(
SUBSTITUTE(
SUBSTITUTE(PRICING[Min Qty],"+"," "),
"-"," "
),
" "
),
(PRICING[SKU]=$A79)*
(PRICING[Set]=2)*
(PRICING[Rebate $]&lt;&gt;0)*
(PRICING[Rebate $]&lt;&gt;"")
)
),
0
)</f>
        <v>0</v>
      </c>
      <c r="H79" s="94" cm="1">
        <f t="array" ref="H79">IFERROR(
MIN(
_xlfn._xlws.FILTER(
--_xlfn.TEXTBEFORE(
SUBSTITUTE(
SUBSTITUTE(PRICING[Min Qty],"+"," "),
"-"," "
),
" "
),
(PRICING[SKU]=$A79)*
(PRICING[Set]=3)*
(PRICING[Rebate $]&lt;&gt;0)*
(PRICING[Rebate $]&lt;&gt;"")
)
),
0
)</f>
        <v>0</v>
      </c>
      <c r="I79" s="94" cm="1">
        <f t="array" ref="I79">IFERROR(
MIN(
_xlfn._xlws.FILTER(
--_xlfn.TEXTBEFORE(
SUBSTITUTE(
SUBSTITUTE(PRICING[Min Qty],"+"," "),
"-"," "
),
" "
),
(PRICING[SKU]=$A79)*
(PRICING[Set]=4)*
(PRICING[Rebate $]&lt;&gt;0)*
(PRICING[Rebate $]&lt;&gt;"")
)
),
0
)</f>
        <v>0</v>
      </c>
      <c r="J79" s="94" cm="1">
        <f t="array" ref="J79">SUM(
    SUMIFS(
        PRICING[Rebate $],
        PRICING[Program],
        {"EOP/ORN","ORN","EOP","NOW","LL/NOW","LL/SLP/NOW","LL/SLP/EOP"},
        PRICING[SKU],
        Rebate_Lookup[[#This Row],[SKU CODE]],
        PRICING[Set],
        1
    )
)</f>
        <v>6</v>
      </c>
      <c r="K79" s="94" cm="1">
        <f t="array" ref="K79">SUM(
    SUMIFS(
        PRICING[Rebate $],
        PRICING[Program],
        {"EOP/ORN","ORN","EOP","NOW","LL/NOW","LL/SLP/NOW","LL/SLP/EOP"},
        PRICING[SKU],
        Rebate_Lookup[[#This Row],[SKU CODE]],
        PRICING[Set],
        2
    )
)</f>
        <v>0</v>
      </c>
      <c r="L79" s="94" cm="1">
        <f t="array" ref="L79">SUM(
    SUMIFS(
        PRICING[Rebate $],
        PRICING[Program],
        {"EOP/ORN","ORN","EOP","NOW","LL/NOW","LL/SLP/NOW","LL/SLP/EOP"},
        PRICING[SKU],
        Rebate_Lookup[[#This Row],[SKU CODE]],
        PRICING[Set],
        3
    )
)</f>
        <v>0</v>
      </c>
      <c r="M79" s="94" cm="1">
        <f t="array" ref="M79">SUM(
    SUMIFS(
        PRICING[Rebate $],
        PRICING[Program],
        {"EOP/ORN","ORN","EOP","NOW","LL/NOW","LL/SLP/NOW","LL/SLP/EOP"},
        PRICING[SKU],
        Rebate_Lookup[[#This Row],[SKU CODE]],
        PRICING[Set],
        4
    )
)</f>
        <v>0</v>
      </c>
      <c r="N79" s="94">
        <f>INDEX(Estimates!H:H,MATCH(Rebate_Lookup[[#This Row],[SKU CODE]],Estimates!A:A,0))</f>
        <v>0</v>
      </c>
      <c r="O79" s="94">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79" s="94">
        <f>COUNTIF(Estimates!A:A,Rebate_Lookup[[#This Row],[SKU CODE]])</f>
        <v>1</v>
      </c>
      <c r="Q79" s="95" t="b">
        <f>IFERROR(Rebate_Lookup[[#This Row],[Order Form Quantity]]&gt;=Rebate_Lookup[[#This Row],[MOQ_2]],0)</f>
        <v>1</v>
      </c>
    </row>
  </sheetData>
  <sheetProtection algorithmName="SHA-512" hashValue="ldT2JIF8cthllSu76mCgtpc7NZKzNglxzUhoMKC5so/AxdDXITJGe4OZpQPQg53onDw03H2phsC/GpJczKuI1Q==" saltValue="xZwiUMiXndnXsYPApweX1g==" spinCount="100000" sheet="1" objects="1" scenarios="1"/>
  <phoneticPr fontId="9"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46DD53A9704547929D8108F65BA31E" ma:contentTypeVersion="30" ma:contentTypeDescription="Create a new document." ma:contentTypeScope="" ma:versionID="a7ae3fd48cd3d6dde690f8b3c2a3b49b">
  <xsd:schema xmlns:xsd="http://www.w3.org/2001/XMLSchema" xmlns:xs="http://www.w3.org/2001/XMLSchema" xmlns:p="http://schemas.microsoft.com/office/2006/metadata/properties" xmlns:ns2="12380346-af75-4b42-99cb-3c92ab0c847d" xmlns:ns3="c4df1d42-0b6e-4c9a-bde1-371b1f6221f7" targetNamespace="http://schemas.microsoft.com/office/2006/metadata/properties" ma:root="true" ma:fieldsID="97b6511b612c8c7abfcc02b6c35c9aa3" ns2:_="" ns3:_="">
    <xsd:import namespace="12380346-af75-4b42-99cb-3c92ab0c847d"/>
    <xsd:import namespace="c4df1d42-0b6e-4c9a-bde1-371b1f6221f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TaxCatchAll" minOccurs="0"/>
                <xsd:element ref="ns2:MediaLengthInSecond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380346-af75-4b42-99cb-3c92ab0c847d"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2a2e794-9366-4967-bc2f-bbaf13cd7d61"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df1d42-0b6e-4c9a-bde1-371b1f6221f7" elementFormDefault="qualified">
    <xsd:import namespace="http://schemas.microsoft.com/office/2006/documentManagement/types"/>
    <xsd:import namespace="http://schemas.microsoft.com/office/infopath/2007/PartnerControls"/>
    <xsd:element name="SharedWithUsers" ma:index="7"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element name="TaxCatchAll" ma:index="9" nillable="true" ma:displayName="Taxonomy Catch All Column" ma:hidden="true" ma:list="{b5ea6529-be50-462f-a468-f0fcaf73934f}" ma:internalName="TaxCatchAll" ma:showField="CatchAllData" ma:web="c4df1d42-0b6e-4c9a-bde1-371b1f6221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2380346-af75-4b42-99cb-3c92ab0c847d">
      <Terms xmlns="http://schemas.microsoft.com/office/infopath/2007/PartnerControls"/>
    </lcf76f155ced4ddcb4097134ff3c332f>
    <TaxCatchAll xmlns="c4df1d42-0b6e-4c9a-bde1-371b1f6221f7">
      <Value>1</Value>
    </TaxCatchAll>
  </documentManagement>
</p:properties>
</file>

<file path=customXml/itemProps1.xml><?xml version="1.0" encoding="utf-8"?>
<ds:datastoreItem xmlns:ds="http://schemas.openxmlformats.org/officeDocument/2006/customXml" ds:itemID="{300F3A97-8F47-405A-86FC-225C474C14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380346-af75-4b42-99cb-3c92ab0c847d"/>
    <ds:schemaRef ds:uri="c4df1d42-0b6e-4c9a-bde1-371b1f6221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020324-E972-4380-B490-A0B2AE8079A5}">
  <ds:schemaRefs>
    <ds:schemaRef ds:uri="http://schemas.microsoft.com/sharepoint/v3/contenttype/forms"/>
  </ds:schemaRefs>
</ds:datastoreItem>
</file>

<file path=customXml/itemProps3.xml><?xml version="1.0" encoding="utf-8"?>
<ds:datastoreItem xmlns:ds="http://schemas.openxmlformats.org/officeDocument/2006/customXml" ds:itemID="{154CEA1D-39B6-4359-AB58-DBC07F3E3B1D}">
  <ds:schemaRefs>
    <ds:schemaRef ds:uri="http://purl.org/dc/dcmitype/"/>
    <ds:schemaRef ds:uri="http://schemas.microsoft.com/office/2006/metadata/properties"/>
    <ds:schemaRef ds:uri="http://purl.org/dc/elements/1.1/"/>
    <ds:schemaRef ds:uri="http://schemas.microsoft.com/office/2006/documentManagement/types"/>
    <ds:schemaRef ds:uri="12380346-af75-4b42-99cb-3c92ab0c847d"/>
    <ds:schemaRef ds:uri="http://schemas.microsoft.com/office/infopath/2007/PartnerControls"/>
    <ds:schemaRef ds:uri="http://purl.org/dc/terms/"/>
    <ds:schemaRef ds:uri="http://schemas.openxmlformats.org/package/2006/metadata/core-properties"/>
    <ds:schemaRef ds:uri="c4df1d42-0b6e-4c9a-bde1-371b1f6221f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Estimates</vt:lpstr>
      <vt:lpstr>SUMMARY-UNITS(2026)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Mahendar Jupaka [C]</dc:creator>
  <cp:keywords/>
  <dc:description/>
  <cp:lastModifiedBy>Matt Kinnard</cp:lastModifiedBy>
  <cp:revision/>
  <cp:lastPrinted>2026-10-02T20:39:31Z</cp:lastPrinted>
  <dcterms:created xsi:type="dcterms:W3CDTF">2026-06-09T09:55:37Z</dcterms:created>
  <dcterms:modified xsi:type="dcterms:W3CDTF">2026-10-13T16:12:07Z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704955-3550-4c1c-9097-1672b88a0b7a_Enabled">
    <vt:lpwstr>true</vt:lpwstr>
  </property>
  <property fmtid="{D5CDD505-2E9C-101B-9397-08002B2CF9AE}" pid="3" name="MSIP_Label_52704955-3550-4c1c-9097-1672b88a0b7a_SetDate">
    <vt:lpwstr>2026-06-10T10:01:01Z</vt:lpwstr>
  </property>
  <property fmtid="{D5CDD505-2E9C-101B-9397-08002B2CF9AE}" pid="4" name="MSIP_Label_52704955-3550-4c1c-9097-1672b88a0b7a_Method">
    <vt:lpwstr>Standard</vt:lpwstr>
  </property>
  <property fmtid="{D5CDD505-2E9C-101B-9397-08002B2CF9AE}" pid="5" name="MSIP_Label_52704955-3550-4c1c-9097-1672b88a0b7a_Name">
    <vt:lpwstr>RESTRICTED</vt:lpwstr>
  </property>
  <property fmtid="{D5CDD505-2E9C-101B-9397-08002B2CF9AE}" pid="6" name="MSIP_Label_52704955-3550-4c1c-9097-1672b88a0b7a_SiteId">
    <vt:lpwstr>c4dedb74-d916-4ef4-b6b5-af80c59e9742</vt:lpwstr>
  </property>
  <property fmtid="{D5CDD505-2E9C-101B-9397-08002B2CF9AE}" pid="7" name="MSIP_Label_52704955-3550-4c1c-9097-1672b88a0b7a_ActionId">
    <vt:lpwstr>a7dff1eb-ba0e-445a-904f-b73862c290cf</vt:lpwstr>
  </property>
  <property fmtid="{D5CDD505-2E9C-101B-9397-08002B2CF9AE}" pid="8" name="MSIP_Label_52704955-3550-4c1c-9097-1672b88a0b7a_ContentBits">
    <vt:lpwstr>0</vt:lpwstr>
  </property>
  <property fmtid="{D5CDD505-2E9C-101B-9397-08002B2CF9AE}" pid="9" name="MSIP_Label_52704955-3550-4c1c-9097-1672b88a0b7a_Tag">
    <vt:lpwstr>10, 3, 0, 1</vt:lpwstr>
  </property>
  <property fmtid="{D5CDD505-2E9C-101B-9397-08002B2CF9AE}" pid="10" name="ContentTypeId">
    <vt:lpwstr>0x0101003746DD53A9704547929D8108F65BA31E</vt:lpwstr>
  </property>
  <property fmtid="{D5CDD505-2E9C-101B-9397-08002B2CF9AE}" pid="11" name="c2b5fb8256bd435bb7806ac3891e195b">
    <vt:lpwstr>Short-Term|6d967203-8346-4b9c-90f8-b3828a3fa508</vt:lpwstr>
  </property>
  <property fmtid="{D5CDD505-2E9C-101B-9397-08002B2CF9AE}" pid="12" name="MediaServiceImageTags">
    <vt:lpwstr/>
  </property>
  <property fmtid="{D5CDD505-2E9C-101B-9397-08002B2CF9AE}" pid="13" name="DataClassBayerRetention">
    <vt:lpwstr>1;#Short-Term|6d967203-8346-4b9c-90f8-b3828a3fa508</vt:lpwstr>
  </property>
</Properties>
</file>