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x4167\OneDrive - AgCompany\Desktop\"/>
    </mc:Choice>
  </mc:AlternateContent>
  <xr:revisionPtr revIDLastSave="1" documentId="13_ncr:1_{7463C9BB-2BD2-452E-ADCA-FA0CC7ED9A30}" xr6:coauthVersionLast="41" xr6:coauthVersionMax="41" xr10:uidLastSave="{0F92B9E7-AF54-41C5-AFEB-E2DEEA57C70A}"/>
  <bookViews>
    <workbookView xWindow="-110" yWindow="-110" windowWidth="19420" windowHeight="10420" firstSheet="9" activeTab="9" xr2:uid="{A5FE820E-54BB-441E-B828-5722171FE508}"/>
  </bookViews>
  <sheets>
    <sheet name="Data" sheetId="1" state="hidden" r:id="rId1"/>
    <sheet name="Worksheet" sheetId="2" state="hidden" r:id="rId2"/>
    <sheet name="Exposure" sheetId="3" state="hidden" r:id="rId3"/>
    <sheet name="Price Change List" sheetId="4" state="hidden" r:id="rId4"/>
    <sheet name="Karan POMRC" sheetId="6" state="hidden" r:id="rId5"/>
    <sheet name="Modeling" sheetId="5" state="hidden" r:id="rId6"/>
    <sheet name="Corteva Rewards" sheetId="7" state="hidden" r:id="rId7"/>
    <sheet name="Annette's with Crew" sheetId="9" state="hidden" r:id="rId8"/>
    <sheet name="Annette's for Detailer" sheetId="8" state="hidden" r:id="rId9"/>
    <sheet name="Calculator" sheetId="12" r:id="rId10"/>
    <sheet name="Matching Calc" sheetId="13" state="hidden" r:id="rId11"/>
  </sheets>
  <definedNames>
    <definedName name="EOP_QTY">Calculator!$I$27:$I$29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9" i="12" l="1"/>
  <c r="O9" i="12"/>
  <c r="Q9" i="12" s="1"/>
  <c r="R9" i="12" s="1"/>
  <c r="N9" i="12"/>
  <c r="P8" i="12" l="1"/>
  <c r="O8" i="12"/>
  <c r="P25" i="12" l="1"/>
  <c r="O25" i="12"/>
  <c r="P24" i="12"/>
  <c r="O24" i="12"/>
  <c r="P23" i="12"/>
  <c r="O23" i="12"/>
  <c r="P21" i="12"/>
  <c r="O21" i="12"/>
  <c r="P20" i="12"/>
  <c r="O20" i="12"/>
  <c r="P19" i="12"/>
  <c r="O19" i="12"/>
  <c r="P18" i="12"/>
  <c r="O18" i="12"/>
  <c r="P17" i="12"/>
  <c r="O17" i="12"/>
  <c r="P16" i="12"/>
  <c r="O16" i="12"/>
  <c r="P15" i="12"/>
  <c r="O15" i="12"/>
  <c r="P13" i="12"/>
  <c r="O13" i="12"/>
  <c r="P12" i="12"/>
  <c r="O12" i="12"/>
  <c r="Q12" i="12" s="1"/>
  <c r="P11" i="12"/>
  <c r="O11" i="12"/>
  <c r="P10" i="12"/>
  <c r="O10" i="12"/>
  <c r="Q8" i="12"/>
  <c r="P7" i="12"/>
  <c r="O7" i="12"/>
  <c r="P6" i="12"/>
  <c r="O6" i="12"/>
  <c r="P5" i="12"/>
  <c r="O5" i="12"/>
  <c r="P4" i="12"/>
  <c r="O4" i="12"/>
  <c r="Q5" i="12" l="1"/>
  <c r="M16" i="12"/>
  <c r="N16" i="12" s="1"/>
  <c r="Q20" i="12"/>
  <c r="R20" i="12" s="1"/>
  <c r="Q25" i="12"/>
  <c r="R25" i="12" s="1"/>
  <c r="Q13" i="12"/>
  <c r="Q18" i="12"/>
  <c r="R18" i="12" s="1"/>
  <c r="M23" i="12"/>
  <c r="N23" i="12" s="1"/>
  <c r="Q10" i="12"/>
  <c r="R10" i="12" s="1"/>
  <c r="Q15" i="12"/>
  <c r="M19" i="12"/>
  <c r="N19" i="12" s="1"/>
  <c r="M24" i="12"/>
  <c r="N24" i="12" s="1"/>
  <c r="Q17" i="12"/>
  <c r="Q4" i="12"/>
  <c r="R4" i="12" s="1"/>
  <c r="Q11" i="12"/>
  <c r="Q6" i="12"/>
  <c r="Q21" i="12"/>
  <c r="R21" i="12" s="1"/>
  <c r="Q23" i="12"/>
  <c r="R23" i="12" s="1"/>
  <c r="Q24" i="12"/>
  <c r="R24" i="12" s="1"/>
  <c r="Q19" i="12"/>
  <c r="R19" i="12" s="1"/>
  <c r="Q16" i="12"/>
  <c r="R16" i="12" s="1"/>
  <c r="Q7" i="12"/>
  <c r="R7" i="12" s="1"/>
  <c r="M17" i="12"/>
  <c r="N17" i="12" s="1"/>
  <c r="M15" i="12"/>
  <c r="N15" i="12" s="1"/>
  <c r="M25" i="12"/>
  <c r="N25" i="12" s="1"/>
  <c r="M7" i="12"/>
  <c r="N7" i="12" s="1"/>
  <c r="M20" i="12"/>
  <c r="N20" i="12" s="1"/>
  <c r="M21" i="12"/>
  <c r="N21" i="12" s="1"/>
  <c r="M18" i="12"/>
  <c r="N18" i="12" s="1"/>
  <c r="M13" i="12"/>
  <c r="N13" i="12" s="1"/>
  <c r="S16" i="12"/>
  <c r="D31" i="13" s="1"/>
  <c r="M4" i="12"/>
  <c r="S4" i="12" s="1"/>
  <c r="D22" i="13" s="1"/>
  <c r="M11" i="12"/>
  <c r="N11" i="12" s="1"/>
  <c r="M5" i="12"/>
  <c r="N5" i="12" s="1"/>
  <c r="M8" i="12"/>
  <c r="N8" i="12" s="1"/>
  <c r="M12" i="12"/>
  <c r="N12" i="12" s="1"/>
  <c r="M6" i="12"/>
  <c r="N6" i="12" s="1"/>
  <c r="M10" i="12"/>
  <c r="N10" i="12" s="1"/>
  <c r="N4" i="12" l="1"/>
  <c r="S12" i="12"/>
  <c r="S6" i="12"/>
  <c r="S5" i="12"/>
  <c r="O57" i="12"/>
  <c r="R13" i="12" s="1"/>
  <c r="O55" i="12"/>
  <c r="R11" i="12" s="1"/>
  <c r="O54" i="12"/>
  <c r="R17" i="12" s="1"/>
  <c r="O53" i="12"/>
  <c r="O52" i="12"/>
  <c r="O51" i="12"/>
  <c r="O56" i="12"/>
  <c r="R12" i="12" s="1"/>
  <c r="M57" i="12" l="1"/>
  <c r="N57" i="12" s="1"/>
  <c r="M55" i="12"/>
  <c r="N55" i="12" s="1"/>
  <c r="M54" i="12"/>
  <c r="N54" i="12" s="1"/>
  <c r="M56" i="12"/>
  <c r="M53" i="12"/>
  <c r="N53" i="12" s="1"/>
  <c r="M52" i="12"/>
  <c r="P46" i="12"/>
  <c r="P45" i="12"/>
  <c r="P44" i="12"/>
  <c r="P43" i="12"/>
  <c r="P42" i="12"/>
  <c r="P41" i="12"/>
  <c r="P40" i="12"/>
  <c r="P39" i="12"/>
  <c r="P38" i="12"/>
  <c r="P37" i="12"/>
  <c r="P36" i="12"/>
  <c r="P35" i="12"/>
  <c r="P34" i="12"/>
  <c r="P33" i="12"/>
  <c r="P32" i="12"/>
  <c r="P31" i="12"/>
  <c r="P29" i="12"/>
  <c r="P28" i="12"/>
  <c r="P27" i="12"/>
  <c r="O27" i="12"/>
  <c r="Q27" i="12" l="1"/>
  <c r="R27" i="12" s="1"/>
  <c r="S56" i="12"/>
  <c r="N56" i="12"/>
  <c r="M51" i="12"/>
  <c r="S51" i="12" s="1"/>
  <c r="D21" i="13" s="1"/>
  <c r="N52" i="12"/>
  <c r="M27" i="12"/>
  <c r="N27" i="12" s="1"/>
  <c r="E3" i="13"/>
  <c r="G3" i="13" s="1"/>
  <c r="E4" i="13"/>
  <c r="G4" i="13" s="1"/>
  <c r="F4" i="13"/>
  <c r="E5" i="13"/>
  <c r="F5" i="13" s="1"/>
  <c r="E6" i="13"/>
  <c r="F6" i="13" s="1"/>
  <c r="E7" i="13"/>
  <c r="F7" i="13" s="1"/>
  <c r="G7" i="13"/>
  <c r="E8" i="13"/>
  <c r="F8" i="13" s="1"/>
  <c r="E9" i="13"/>
  <c r="F9" i="13" s="1"/>
  <c r="E10" i="13"/>
  <c r="F10" i="13" s="1"/>
  <c r="G10" i="13"/>
  <c r="E11" i="13"/>
  <c r="G11" i="13" s="1"/>
  <c r="E12" i="13"/>
  <c r="F12" i="13"/>
  <c r="G12" i="13"/>
  <c r="E13" i="13"/>
  <c r="G13" i="13" s="1"/>
  <c r="E14" i="13"/>
  <c r="F14" i="13" s="1"/>
  <c r="E15" i="13"/>
  <c r="G15" i="13" s="1"/>
  <c r="F15" i="13"/>
  <c r="E16" i="13"/>
  <c r="F16" i="13" s="1"/>
  <c r="E17" i="13"/>
  <c r="F17" i="13" s="1"/>
  <c r="G17" i="13"/>
  <c r="E18" i="13"/>
  <c r="F18" i="13"/>
  <c r="G18" i="13"/>
  <c r="E19" i="13"/>
  <c r="G19" i="13" s="1"/>
  <c r="E20" i="13"/>
  <c r="F20" i="13"/>
  <c r="G20" i="13"/>
  <c r="E21" i="13"/>
  <c r="F21" i="13" s="1"/>
  <c r="E22" i="13"/>
  <c r="F22" i="13" s="1"/>
  <c r="G21" i="13" l="1"/>
  <c r="G5" i="13"/>
  <c r="F13" i="13"/>
  <c r="G9" i="13"/>
  <c r="F19" i="13"/>
  <c r="G16" i="13"/>
  <c r="F11" i="13"/>
  <c r="G8" i="13"/>
  <c r="F3" i="13"/>
  <c r="G22" i="13"/>
  <c r="G14" i="13"/>
  <c r="G6" i="13"/>
  <c r="O46" i="12"/>
  <c r="O45" i="12"/>
  <c r="O44" i="12"/>
  <c r="O43" i="12"/>
  <c r="O42" i="12"/>
  <c r="O41" i="12"/>
  <c r="O40" i="12"/>
  <c r="O39" i="12"/>
  <c r="O38" i="12"/>
  <c r="O37" i="12"/>
  <c r="O36" i="12"/>
  <c r="O35" i="12"/>
  <c r="O34" i="12"/>
  <c r="O33" i="12"/>
  <c r="O32" i="12"/>
  <c r="O31" i="12"/>
  <c r="M33" i="12" l="1"/>
  <c r="N33" i="12" s="1"/>
  <c r="Q33" i="12"/>
  <c r="M34" i="12"/>
  <c r="S34" i="12" s="1"/>
  <c r="Q34" i="12"/>
  <c r="M35" i="12"/>
  <c r="S35" i="12" s="1"/>
  <c r="D3" i="13" s="1"/>
  <c r="H3" i="13" s="1"/>
  <c r="Q35" i="12"/>
  <c r="M40" i="12"/>
  <c r="S40" i="12" s="1"/>
  <c r="D20" i="13" s="1"/>
  <c r="H20" i="13" s="1"/>
  <c r="Q40" i="12"/>
  <c r="M41" i="12"/>
  <c r="S41" i="12" s="1"/>
  <c r="Q41" i="12"/>
  <c r="M42" i="12"/>
  <c r="S42" i="12" s="1"/>
  <c r="Q42" i="12"/>
  <c r="M45" i="12"/>
  <c r="S45" i="12" s="1"/>
  <c r="Q45" i="12"/>
  <c r="M39" i="12"/>
  <c r="S39" i="12" s="1"/>
  <c r="Q39" i="12"/>
  <c r="M44" i="12"/>
  <c r="S44" i="12" s="1"/>
  <c r="Q44" i="12"/>
  <c r="R44" i="12" s="1"/>
  <c r="M37" i="12"/>
  <c r="S37" i="12" s="1"/>
  <c r="Q37" i="12"/>
  <c r="M38" i="12"/>
  <c r="S38" i="12" s="1"/>
  <c r="Q38" i="12"/>
  <c r="M46" i="12"/>
  <c r="S46" i="12" s="1"/>
  <c r="Q46" i="12"/>
  <c r="M36" i="12"/>
  <c r="S36" i="12" s="1"/>
  <c r="Q36" i="12"/>
  <c r="M32" i="12"/>
  <c r="N32" i="12" s="1"/>
  <c r="Q32" i="12"/>
  <c r="M43" i="12"/>
  <c r="S43" i="12" s="1"/>
  <c r="Q43" i="12"/>
  <c r="M31" i="12"/>
  <c r="N31" i="12" s="1"/>
  <c r="Q31" i="12"/>
  <c r="R31" i="12" s="1"/>
  <c r="H22" i="13"/>
  <c r="N51" i="12"/>
  <c r="N61" i="12" s="1"/>
  <c r="N35" i="12"/>
  <c r="N42" i="12"/>
  <c r="O28" i="12"/>
  <c r="Q28" i="12" s="1"/>
  <c r="O29" i="12"/>
  <c r="Q29" i="12" s="1"/>
  <c r="R29" i="12" s="1"/>
  <c r="N40" i="12" l="1"/>
  <c r="N36" i="12"/>
  <c r="N34" i="12"/>
  <c r="N45" i="12"/>
  <c r="R45" i="12"/>
  <c r="N39" i="12"/>
  <c r="N44" i="12"/>
  <c r="N46" i="12"/>
  <c r="N38" i="12"/>
  <c r="R36" i="12"/>
  <c r="R41" i="12"/>
  <c r="N37" i="12"/>
  <c r="N41" i="12"/>
  <c r="N43" i="12"/>
  <c r="H21" i="13"/>
  <c r="M28" i="12"/>
  <c r="N28" i="12" s="1"/>
  <c r="M29" i="12"/>
  <c r="N29" i="12" s="1"/>
  <c r="D9" i="13"/>
  <c r="H9" i="13" s="1"/>
  <c r="D8" i="13"/>
  <c r="H8" i="13" s="1"/>
  <c r="D10" i="13"/>
  <c r="H10" i="13" s="1"/>
  <c r="D11" i="13"/>
  <c r="H11" i="13" s="1"/>
  <c r="D13" i="13"/>
  <c r="H13" i="13" s="1"/>
  <c r="D12" i="13"/>
  <c r="H12" i="13" s="1"/>
  <c r="D15" i="13"/>
  <c r="H15" i="13" s="1"/>
  <c r="D14" i="13"/>
  <c r="H14" i="13" s="1"/>
  <c r="D4" i="13"/>
  <c r="H4" i="13" s="1"/>
  <c r="D6" i="13"/>
  <c r="H6" i="13" s="1"/>
  <c r="D7" i="13"/>
  <c r="H7" i="13" s="1"/>
  <c r="D5" i="13"/>
  <c r="H5" i="13" s="1"/>
  <c r="D19" i="13"/>
  <c r="H19" i="13" s="1"/>
  <c r="D17" i="13"/>
  <c r="H17" i="13" s="1"/>
  <c r="D18" i="13"/>
  <c r="H18" i="13" s="1"/>
  <c r="D16" i="13"/>
  <c r="H16" i="13" s="1"/>
  <c r="O64" i="12" l="1"/>
  <c r="N64" i="12" s="1"/>
  <c r="N60" i="12"/>
  <c r="N59" i="12"/>
  <c r="H23" i="13"/>
  <c r="H27" i="13" s="1"/>
  <c r="C31" i="13" s="1"/>
  <c r="H31" i="13" s="1"/>
  <c r="H33" i="13" s="1"/>
  <c r="E49" i="7"/>
  <c r="F30" i="7"/>
  <c r="F29" i="7"/>
  <c r="F28" i="7"/>
  <c r="F27" i="7"/>
  <c r="F26" i="7"/>
  <c r="F25" i="7"/>
  <c r="F24" i="7"/>
  <c r="F23" i="7"/>
  <c r="F22" i="7"/>
  <c r="F21" i="7"/>
  <c r="F20" i="7"/>
  <c r="F18" i="7"/>
  <c r="F17" i="7"/>
  <c r="F16" i="7"/>
  <c r="F15" i="7"/>
  <c r="F14" i="7"/>
  <c r="F13" i="7"/>
  <c r="F12" i="7"/>
  <c r="F10" i="7"/>
  <c r="F9" i="7"/>
  <c r="F8" i="7"/>
  <c r="F7" i="7"/>
  <c r="F5" i="7"/>
  <c r="F4" i="7"/>
  <c r="F3" i="7"/>
  <c r="P22" i="6"/>
  <c r="P26" i="6"/>
  <c r="P25" i="6"/>
  <c r="E25" i="6"/>
  <c r="E41" i="6"/>
  <c r="P5" i="6"/>
  <c r="P6" i="6"/>
  <c r="P8" i="6"/>
  <c r="P9" i="6"/>
  <c r="P10" i="6"/>
  <c r="P11" i="6"/>
  <c r="P13" i="6"/>
  <c r="P14" i="6"/>
  <c r="P15" i="6"/>
  <c r="P16" i="6"/>
  <c r="P17" i="6"/>
  <c r="P18" i="6"/>
  <c r="P19" i="6"/>
  <c r="P21" i="6"/>
  <c r="P23" i="6"/>
  <c r="P24" i="6"/>
  <c r="P27" i="6"/>
  <c r="P28" i="6"/>
  <c r="P29" i="6"/>
  <c r="P30" i="6"/>
  <c r="P31" i="6"/>
  <c r="P32" i="6"/>
  <c r="E19" i="6"/>
  <c r="E32" i="6"/>
  <c r="E18" i="6"/>
  <c r="E10" i="6"/>
  <c r="E16" i="6"/>
  <c r="E49" i="6"/>
  <c r="E48" i="6"/>
  <c r="E30" i="6"/>
  <c r="E29" i="6"/>
  <c r="E6" i="6"/>
  <c r="E46" i="6"/>
  <c r="E45" i="6"/>
  <c r="E44" i="6"/>
  <c r="E5" i="6"/>
  <c r="E4" i="6"/>
  <c r="E27" i="6"/>
  <c r="E24" i="6"/>
  <c r="E23" i="6"/>
  <c r="E42" i="6"/>
  <c r="E40" i="6"/>
  <c r="E39" i="6"/>
  <c r="E14" i="6"/>
  <c r="E8" i="6"/>
  <c r="E13" i="6"/>
  <c r="R35" i="3"/>
  <c r="I19" i="3"/>
  <c r="I20" i="3"/>
  <c r="I21" i="3"/>
  <c r="I22" i="3"/>
  <c r="I23" i="3"/>
  <c r="I24" i="3"/>
  <c r="I25" i="3"/>
  <c r="I18" i="3"/>
  <c r="I30" i="3"/>
  <c r="J30" i="3"/>
  <c r="I5" i="3"/>
  <c r="T27" i="3"/>
  <c r="T28" i="3"/>
  <c r="T29" i="3"/>
  <c r="T30" i="3"/>
  <c r="T31" i="3"/>
  <c r="T32" i="3"/>
  <c r="T33" i="3"/>
  <c r="T34" i="3"/>
  <c r="T36" i="3"/>
  <c r="T26" i="3"/>
  <c r="T16" i="3"/>
  <c r="T17" i="3"/>
  <c r="T22" i="3" s="1"/>
  <c r="T18" i="3"/>
  <c r="T19" i="3"/>
  <c r="T20" i="3"/>
  <c r="T21" i="3"/>
  <c r="T15" i="3"/>
  <c r="T6" i="3"/>
  <c r="T7" i="3"/>
  <c r="T8" i="3"/>
  <c r="T9" i="3"/>
  <c r="T10" i="3"/>
  <c r="T5" i="3"/>
  <c r="J31" i="3"/>
  <c r="J29" i="3"/>
  <c r="J19" i="3"/>
  <c r="J20" i="3"/>
  <c r="J21" i="3"/>
  <c r="J22" i="3"/>
  <c r="J23" i="3"/>
  <c r="J24" i="3"/>
  <c r="J25" i="3"/>
  <c r="J18" i="3"/>
  <c r="J6" i="3"/>
  <c r="J7" i="3"/>
  <c r="J8" i="3"/>
  <c r="J9" i="3"/>
  <c r="J10" i="3"/>
  <c r="J11" i="3"/>
  <c r="J12" i="3"/>
  <c r="J13" i="3"/>
  <c r="J14" i="3"/>
  <c r="J5" i="3"/>
  <c r="S27" i="3"/>
  <c r="S28" i="3"/>
  <c r="S29" i="3"/>
  <c r="S30" i="3"/>
  <c r="S31" i="3"/>
  <c r="S32" i="3"/>
  <c r="S33" i="3"/>
  <c r="S34" i="3"/>
  <c r="S36" i="3"/>
  <c r="S26" i="3"/>
  <c r="S16" i="3"/>
  <c r="S17" i="3"/>
  <c r="S18" i="3"/>
  <c r="S19" i="3"/>
  <c r="S20" i="3"/>
  <c r="S21" i="3"/>
  <c r="S15" i="3"/>
  <c r="S6" i="3"/>
  <c r="S7" i="3"/>
  <c r="S8" i="3"/>
  <c r="S9" i="3"/>
  <c r="S10" i="3"/>
  <c r="S5" i="3"/>
  <c r="S11" i="3" s="1"/>
  <c r="I31" i="3"/>
  <c r="I29" i="3"/>
  <c r="I32" i="3" s="1"/>
  <c r="I6" i="3"/>
  <c r="I7" i="3"/>
  <c r="I8" i="3"/>
  <c r="I9" i="3"/>
  <c r="I10" i="3"/>
  <c r="I11" i="3"/>
  <c r="I12" i="3"/>
  <c r="I13" i="3"/>
  <c r="I14" i="3"/>
  <c r="R70" i="3"/>
  <c r="R69" i="3"/>
  <c r="R68" i="3"/>
  <c r="R67" i="3"/>
  <c r="R66" i="3"/>
  <c r="R65" i="3"/>
  <c r="R64" i="3"/>
  <c r="R63" i="3"/>
  <c r="R62" i="3"/>
  <c r="R61" i="3"/>
  <c r="R60" i="3"/>
  <c r="R59" i="3"/>
  <c r="R58" i="3"/>
  <c r="R57" i="3"/>
  <c r="R56" i="3"/>
  <c r="R55" i="3"/>
  <c r="R54" i="3"/>
  <c r="R53" i="3"/>
  <c r="R52" i="3"/>
  <c r="R51" i="3"/>
  <c r="R50" i="3"/>
  <c r="R36" i="3"/>
  <c r="R34" i="3"/>
  <c r="R33" i="3"/>
  <c r="R32" i="3"/>
  <c r="R31" i="3"/>
  <c r="R30" i="3"/>
  <c r="H31" i="3"/>
  <c r="H32" i="3" s="1"/>
  <c r="R29" i="3"/>
  <c r="H30" i="3"/>
  <c r="R28" i="3"/>
  <c r="H29" i="3"/>
  <c r="R27" i="3"/>
  <c r="R26" i="3"/>
  <c r="H25" i="3"/>
  <c r="H24" i="3"/>
  <c r="H23" i="3"/>
  <c r="R21" i="3"/>
  <c r="H22" i="3"/>
  <c r="R20" i="3"/>
  <c r="H21" i="3"/>
  <c r="R19" i="3"/>
  <c r="H20" i="3"/>
  <c r="R18" i="3"/>
  <c r="H19" i="3"/>
  <c r="H26" i="3" s="1"/>
  <c r="R17" i="3"/>
  <c r="H18" i="3"/>
  <c r="R16" i="3"/>
  <c r="R15" i="3"/>
  <c r="H14" i="3"/>
  <c r="H13" i="3"/>
  <c r="H12" i="3"/>
  <c r="R10" i="3"/>
  <c r="H11" i="3"/>
  <c r="R9" i="3"/>
  <c r="H10" i="3"/>
  <c r="R8" i="3"/>
  <c r="H9" i="3"/>
  <c r="H8" i="3"/>
  <c r="R7" i="3"/>
  <c r="H7" i="3"/>
  <c r="R6" i="3"/>
  <c r="H6" i="3"/>
  <c r="R5" i="3"/>
  <c r="H5" i="3"/>
  <c r="R37" i="3"/>
  <c r="L56" i="2"/>
  <c r="L53" i="2"/>
  <c r="L54" i="2"/>
  <c r="N61" i="1"/>
  <c r="L61" i="1"/>
  <c r="F61" i="1"/>
  <c r="C61" i="1"/>
  <c r="J58" i="1"/>
  <c r="I58" i="1" s="1"/>
  <c r="J57" i="1"/>
  <c r="H57" i="1"/>
  <c r="G57" i="1"/>
  <c r="I57" i="1" s="1"/>
  <c r="D57" i="1"/>
  <c r="J56" i="1"/>
  <c r="H56" i="1" s="1"/>
  <c r="G56" i="1"/>
  <c r="I56" i="1" s="1"/>
  <c r="D56" i="1"/>
  <c r="J55" i="1"/>
  <c r="H55" i="1" s="1"/>
  <c r="G55" i="1"/>
  <c r="I55" i="1" s="1"/>
  <c r="D55" i="1"/>
  <c r="J54" i="1"/>
  <c r="I54" i="1" s="1"/>
  <c r="D54" i="1"/>
  <c r="J53" i="1"/>
  <c r="H53" i="1" s="1"/>
  <c r="G53" i="1"/>
  <c r="D53" i="1"/>
  <c r="G52" i="1"/>
  <c r="D52" i="1"/>
  <c r="J51" i="1"/>
  <c r="H51" i="1" s="1"/>
  <c r="G51" i="1"/>
  <c r="I51" i="1"/>
  <c r="D51" i="1"/>
  <c r="J50" i="1"/>
  <c r="I50" i="1" s="1"/>
  <c r="G50" i="1"/>
  <c r="D50" i="1"/>
  <c r="J49" i="1"/>
  <c r="H49" i="1" s="1"/>
  <c r="G49" i="1"/>
  <c r="D49" i="1"/>
  <c r="J48" i="1"/>
  <c r="I48" i="1" s="1"/>
  <c r="G48" i="1"/>
  <c r="D48" i="1"/>
  <c r="J47" i="1"/>
  <c r="H47" i="1"/>
  <c r="G47" i="1"/>
  <c r="I47" i="1" s="1"/>
  <c r="D47" i="1"/>
  <c r="J46" i="1"/>
  <c r="H46" i="1" s="1"/>
  <c r="G46" i="1"/>
  <c r="D46" i="1"/>
  <c r="J45" i="1"/>
  <c r="H45" i="1" s="1"/>
  <c r="G45" i="1"/>
  <c r="D45" i="1"/>
  <c r="J44" i="1"/>
  <c r="H44" i="1" s="1"/>
  <c r="G44" i="1"/>
  <c r="D44" i="1"/>
  <c r="J43" i="1"/>
  <c r="H43" i="1" s="1"/>
  <c r="G43" i="1"/>
  <c r="I43" i="1" s="1"/>
  <c r="D43" i="1"/>
  <c r="J42" i="1"/>
  <c r="H42" i="1" s="1"/>
  <c r="G42" i="1"/>
  <c r="D42" i="1"/>
  <c r="J41" i="1"/>
  <c r="H41" i="1"/>
  <c r="G41" i="1"/>
  <c r="I41" i="1" s="1"/>
  <c r="D41" i="1"/>
  <c r="J40" i="1"/>
  <c r="H40" i="1" s="1"/>
  <c r="G40" i="1"/>
  <c r="D40" i="1"/>
  <c r="J39" i="1"/>
  <c r="H39" i="1"/>
  <c r="G39" i="1"/>
  <c r="I39" i="1" s="1"/>
  <c r="D39" i="1"/>
  <c r="J38" i="1"/>
  <c r="H38" i="1" s="1"/>
  <c r="G38" i="1"/>
  <c r="D38" i="1"/>
  <c r="J37" i="1"/>
  <c r="H37" i="1" s="1"/>
  <c r="G37" i="1"/>
  <c r="D37" i="1"/>
  <c r="J36" i="1"/>
  <c r="H36" i="1" s="1"/>
  <c r="G36" i="1"/>
  <c r="D36" i="1"/>
  <c r="J35" i="1"/>
  <c r="H35" i="1" s="1"/>
  <c r="G35" i="1"/>
  <c r="I35" i="1" s="1"/>
  <c r="D35" i="1"/>
  <c r="J34" i="1"/>
  <c r="H34" i="1" s="1"/>
  <c r="G34" i="1"/>
  <c r="D34" i="1"/>
  <c r="J33" i="1"/>
  <c r="H33" i="1"/>
  <c r="G33" i="1"/>
  <c r="I33" i="1" s="1"/>
  <c r="D33" i="1"/>
  <c r="J32" i="1"/>
  <c r="H32" i="1" s="1"/>
  <c r="G32" i="1"/>
  <c r="I32" i="1" s="1"/>
  <c r="D32" i="1"/>
  <c r="J31" i="1"/>
  <c r="H31" i="1" s="1"/>
  <c r="G31" i="1"/>
  <c r="I31" i="1" s="1"/>
  <c r="D31" i="1"/>
  <c r="J30" i="1"/>
  <c r="H30" i="1" s="1"/>
  <c r="G30" i="1"/>
  <c r="D30" i="1"/>
  <c r="J29" i="1"/>
  <c r="H29" i="1"/>
  <c r="G29" i="1"/>
  <c r="D29" i="1"/>
  <c r="J28" i="1"/>
  <c r="H28" i="1" s="1"/>
  <c r="G28" i="1"/>
  <c r="D28" i="1"/>
  <c r="J27" i="1"/>
  <c r="H27" i="1" s="1"/>
  <c r="G27" i="1"/>
  <c r="I27" i="1" s="1"/>
  <c r="D27" i="1"/>
  <c r="J26" i="1"/>
  <c r="H26" i="1" s="1"/>
  <c r="G26" i="1"/>
  <c r="D26" i="1"/>
  <c r="J25" i="1"/>
  <c r="H25" i="1" s="1"/>
  <c r="G25" i="1"/>
  <c r="I25" i="1" s="1"/>
  <c r="D25" i="1"/>
  <c r="J24" i="1"/>
  <c r="H24" i="1" s="1"/>
  <c r="G24" i="1"/>
  <c r="D24" i="1"/>
  <c r="J23" i="1"/>
  <c r="G23" i="1"/>
  <c r="D23" i="1"/>
  <c r="J22" i="1"/>
  <c r="H22" i="1" s="1"/>
  <c r="G22" i="1"/>
  <c r="D22" i="1"/>
  <c r="J21" i="1"/>
  <c r="H21" i="1" s="1"/>
  <c r="G21" i="1"/>
  <c r="D21" i="1"/>
  <c r="J20" i="1"/>
  <c r="H20" i="1"/>
  <c r="G20" i="1"/>
  <c r="I20" i="1" s="1"/>
  <c r="D20" i="1"/>
  <c r="J19" i="1"/>
  <c r="H19" i="1" s="1"/>
  <c r="G19" i="1"/>
  <c r="D19" i="1"/>
  <c r="J18" i="1"/>
  <c r="H18" i="1" s="1"/>
  <c r="G18" i="1"/>
  <c r="D18" i="1"/>
  <c r="J17" i="1"/>
  <c r="H17" i="1" s="1"/>
  <c r="G17" i="1"/>
  <c r="I17" i="1" s="1"/>
  <c r="D17" i="1"/>
  <c r="J16" i="1"/>
  <c r="H16" i="1" s="1"/>
  <c r="G16" i="1"/>
  <c r="D16" i="1"/>
  <c r="J15" i="1"/>
  <c r="H15" i="1" s="1"/>
  <c r="G15" i="1"/>
  <c r="D15" i="1"/>
  <c r="J14" i="1"/>
  <c r="H14" i="1" s="1"/>
  <c r="G14" i="1"/>
  <c r="I14" i="1" s="1"/>
  <c r="D14" i="1"/>
  <c r="J13" i="1"/>
  <c r="I13" i="1" s="1"/>
  <c r="H13" i="1"/>
  <c r="J12" i="1"/>
  <c r="H12" i="1" s="1"/>
  <c r="G12" i="1"/>
  <c r="I12" i="1" s="1"/>
  <c r="D12" i="1"/>
  <c r="J11" i="1"/>
  <c r="H11" i="1" s="1"/>
  <c r="G11" i="1"/>
  <c r="D11" i="1"/>
  <c r="J10" i="1"/>
  <c r="H10" i="1" s="1"/>
  <c r="G10" i="1"/>
  <c r="D10" i="1"/>
  <c r="G9" i="1"/>
  <c r="D9" i="1"/>
  <c r="G8" i="1"/>
  <c r="D8" i="1"/>
  <c r="G7" i="1"/>
  <c r="D7" i="1"/>
  <c r="G6" i="1"/>
  <c r="D6" i="1"/>
  <c r="L30" i="2"/>
  <c r="L32" i="2"/>
  <c r="L31" i="2"/>
  <c r="L35" i="2"/>
  <c r="L27" i="2"/>
  <c r="L7" i="2"/>
  <c r="L10" i="2"/>
  <c r="L11" i="2"/>
  <c r="L29" i="2"/>
  <c r="L28" i="2"/>
  <c r="L36" i="2"/>
  <c r="L34" i="2"/>
  <c r="L33" i="2"/>
  <c r="L6" i="2"/>
  <c r="L16" i="2"/>
  <c r="L50" i="2"/>
  <c r="L57" i="2"/>
  <c r="L55" i="2"/>
  <c r="L59" i="2"/>
  <c r="L17" i="2"/>
  <c r="L60" i="2"/>
  <c r="L20" i="2"/>
  <c r="L21" i="2"/>
  <c r="L22" i="2"/>
  <c r="L61" i="2"/>
  <c r="L62" i="2"/>
  <c r="L63" i="2"/>
  <c r="L64" i="2"/>
  <c r="L65" i="2"/>
  <c r="L66" i="2"/>
  <c r="L67" i="2"/>
  <c r="L68" i="2"/>
  <c r="L70" i="2"/>
  <c r="L52" i="2"/>
  <c r="L8" i="2"/>
  <c r="L9" i="2"/>
  <c r="L5" i="2"/>
  <c r="L12" i="2" s="1"/>
  <c r="L51" i="2"/>
  <c r="L58" i="2"/>
  <c r="L18" i="2"/>
  <c r="L19" i="2"/>
  <c r="L69" i="2"/>
  <c r="F22" i="2"/>
  <c r="F30" i="2"/>
  <c r="F31" i="2"/>
  <c r="F29" i="2"/>
  <c r="F19" i="2"/>
  <c r="F20" i="2"/>
  <c r="F21" i="2"/>
  <c r="F23" i="2"/>
  <c r="F24" i="2"/>
  <c r="F25" i="2"/>
  <c r="F18" i="2"/>
  <c r="F5" i="2"/>
  <c r="F7" i="2"/>
  <c r="F8" i="2"/>
  <c r="F9" i="2"/>
  <c r="F10" i="2"/>
  <c r="F11" i="2"/>
  <c r="F12" i="2"/>
  <c r="F13" i="2"/>
  <c r="F14" i="2"/>
  <c r="F6" i="2"/>
  <c r="I49" i="1"/>
  <c r="I22" i="1"/>
  <c r="I26" i="1"/>
  <c r="I29" i="1"/>
  <c r="I30" i="1"/>
  <c r="H54" i="1"/>
  <c r="P4" i="6"/>
  <c r="I36" i="1" l="1"/>
  <c r="I46" i="1"/>
  <c r="H58" i="1"/>
  <c r="F15" i="2"/>
  <c r="F32" i="2"/>
  <c r="I10" i="1"/>
  <c r="I15" i="1"/>
  <c r="I23" i="1"/>
  <c r="I34" i="1"/>
  <c r="I40" i="1"/>
  <c r="I42" i="1"/>
  <c r="I53" i="1"/>
  <c r="I24" i="1"/>
  <c r="I28" i="1"/>
  <c r="R11" i="3"/>
  <c r="H15" i="3"/>
  <c r="C47" i="3" s="1"/>
  <c r="R22" i="3"/>
  <c r="R71" i="3"/>
  <c r="I15" i="3"/>
  <c r="J26" i="3"/>
  <c r="J32" i="3"/>
  <c r="T37" i="3"/>
  <c r="I21" i="1"/>
  <c r="L37" i="2"/>
  <c r="I18" i="1"/>
  <c r="I11" i="1"/>
  <c r="I16" i="1"/>
  <c r="I37" i="1"/>
  <c r="I45" i="1"/>
  <c r="S22" i="3"/>
  <c r="S37" i="3"/>
  <c r="J15" i="3"/>
  <c r="H47" i="3" s="1"/>
  <c r="T11" i="3"/>
  <c r="I26" i="3"/>
  <c r="F26" i="2"/>
  <c r="L23" i="2"/>
  <c r="L71" i="2"/>
  <c r="G61" i="1"/>
  <c r="D61" i="1" s="1"/>
  <c r="I19" i="1"/>
  <c r="I38" i="1"/>
  <c r="I44" i="1"/>
  <c r="J61" i="1"/>
  <c r="H61" i="1" s="1"/>
  <c r="H23" i="1"/>
  <c r="H48" i="1"/>
  <c r="H50" i="1"/>
  <c r="N65" i="12"/>
  <c r="N67" i="12"/>
  <c r="O28" i="2" l="1"/>
  <c r="O30" i="2" s="1"/>
  <c r="O34" i="2" s="1"/>
  <c r="F47" i="3"/>
  <c r="N69" i="12"/>
  <c r="I61" i="1"/>
  <c r="H48" i="3"/>
  <c r="F48" i="3"/>
  <c r="C49" i="3"/>
  <c r="O31" i="2"/>
  <c r="O38" i="2" s="1"/>
  <c r="C53" i="3" l="1"/>
  <c r="H49" i="3"/>
  <c r="F49" i="3"/>
  <c r="C50" i="3"/>
  <c r="H51" i="3" l="1"/>
  <c r="C57" i="3"/>
  <c r="F51" i="3"/>
  <c r="F52" i="3" l="1"/>
  <c r="H5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Thompson, Annette</author>
  </authors>
  <commentList>
    <comment ref="R4" authorId="0" shapeId="0" xr:uid="{018303BE-379A-44C7-BB7B-3BDAD0117232}">
      <text>
        <r>
          <rPr>
            <b/>
            <sz val="9"/>
            <color indexed="81"/>
            <rFont val="Tahoma"/>
            <family val="2"/>
          </rPr>
          <t>Thompson, Annette:</t>
        </r>
        <r>
          <rPr>
            <sz val="9"/>
            <color indexed="81"/>
            <rFont val="Tahoma"/>
            <family val="2"/>
          </rPr>
          <t xml:space="preserve">
dimension ultra
</t>
        </r>
      </text>
    </comment>
    <comment ref="R7" authorId="0" shapeId="0" xr:uid="{D05EE480-BFC2-45FE-9A2C-ED2237097E5C}">
      <text>
        <r>
          <rPr>
            <b/>
            <sz val="9"/>
            <color indexed="81"/>
            <rFont val="Tahoma"/>
            <family val="2"/>
          </rPr>
          <t>Thompson, Annette:</t>
        </r>
        <r>
          <rPr>
            <sz val="9"/>
            <color indexed="81"/>
            <rFont val="Tahoma"/>
            <family val="2"/>
          </rPr>
          <t xml:space="preserve">
dimension +defendor val pak
</t>
        </r>
      </text>
    </comment>
    <comment ref="R9" authorId="0" shapeId="0" xr:uid="{D6C68160-D927-491A-8A60-176E130C0543}">
      <text>
        <r>
          <rPr>
            <b/>
            <sz val="9"/>
            <color indexed="81"/>
            <rFont val="Tahoma"/>
            <family val="2"/>
          </rPr>
          <t>Thompson, Annette:</t>
        </r>
        <r>
          <rPr>
            <sz val="9"/>
            <color indexed="81"/>
            <rFont val="Tahoma"/>
            <family val="2"/>
          </rPr>
          <t xml:space="preserve">
gallery sc</t>
        </r>
      </text>
    </comment>
    <comment ref="R10" authorId="0" shapeId="0" xr:uid="{F6F3DC11-A9BC-4CAF-9BC1-E521A15F58AA}">
      <text>
        <r>
          <rPr>
            <b/>
            <sz val="9"/>
            <color indexed="81"/>
            <rFont val="Tahoma"/>
            <family val="2"/>
          </rPr>
          <t>Thompson, Annette:</t>
        </r>
        <r>
          <rPr>
            <sz val="9"/>
            <color indexed="81"/>
            <rFont val="Tahoma"/>
            <family val="2"/>
          </rPr>
          <t xml:space="preserve">
gallery sc</t>
        </r>
      </text>
    </comment>
    <comment ref="R11" authorId="0" shapeId="0" xr:uid="{D2B2D056-2F19-4048-92D9-8FE92591CE9B}">
      <text>
        <r>
          <rPr>
            <b/>
            <sz val="9"/>
            <color indexed="81"/>
            <rFont val="Tahoma"/>
            <family val="2"/>
          </rPr>
          <t>Thompson, Annette:</t>
        </r>
        <r>
          <rPr>
            <sz val="9"/>
            <color indexed="81"/>
            <rFont val="Tahoma"/>
            <family val="2"/>
          </rPr>
          <t xml:space="preserve">
kerb sc</t>
        </r>
      </text>
    </comment>
    <comment ref="R12" authorId="0" shapeId="0" xr:uid="{F5EB1B77-EFC3-43AD-BAF7-2E1B0295362C}">
      <text>
        <r>
          <rPr>
            <b/>
            <sz val="9"/>
            <color indexed="81"/>
            <rFont val="Tahoma"/>
            <family val="2"/>
          </rPr>
          <t>Thompson, Annette:</t>
        </r>
        <r>
          <rPr>
            <sz val="9"/>
            <color indexed="81"/>
            <rFont val="Tahoma"/>
            <family val="2"/>
          </rPr>
          <t xml:space="preserve">
snapshot 2.5 tg</t>
        </r>
      </text>
    </comment>
    <comment ref="R13" authorId="0" shapeId="0" xr:uid="{F3408985-1946-4A93-B342-61D93286DA83}">
      <text>
        <r>
          <rPr>
            <b/>
            <sz val="9"/>
            <color indexed="81"/>
            <rFont val="Tahoma"/>
            <family val="2"/>
          </rPr>
          <t>Thompson, Annette:</t>
        </r>
        <r>
          <rPr>
            <sz val="9"/>
            <color indexed="81"/>
            <rFont val="Tahoma"/>
            <family val="2"/>
          </rPr>
          <t xml:space="preserve">
snapshot dg
</t>
        </r>
      </text>
    </comment>
    <comment ref="R16" authorId="0" shapeId="0" xr:uid="{49A805A1-819C-4BDB-A05A-DC0E135F43BE}">
      <text>
        <r>
          <rPr>
            <b/>
            <sz val="9"/>
            <color indexed="81"/>
            <rFont val="Tahoma"/>
            <family val="2"/>
          </rPr>
          <t>Thompson, Annette:</t>
        </r>
        <r>
          <rPr>
            <sz val="9"/>
            <color indexed="81"/>
            <rFont val="Tahoma"/>
            <family val="2"/>
          </rPr>
          <t xml:space="preserve">
defendor
</t>
        </r>
      </text>
    </comment>
    <comment ref="R17" authorId="0" shapeId="0" xr:uid="{69087540-9D86-4DE3-AB97-FA71BE796CB5}">
      <text>
        <r>
          <rPr>
            <b/>
            <sz val="9"/>
            <color indexed="81"/>
            <rFont val="Tahoma"/>
            <family val="2"/>
          </rPr>
          <t>Thompson, Annette:</t>
        </r>
        <r>
          <rPr>
            <sz val="9"/>
            <color indexed="81"/>
            <rFont val="Tahoma"/>
            <family val="2"/>
          </rPr>
          <t xml:space="preserve">
gameon
</t>
        </r>
      </text>
    </comment>
    <comment ref="R18" authorId="0" shapeId="0" xr:uid="{30D44742-D9F5-4CE8-BF14-9E536A1BDBD7}">
      <text>
        <r>
          <rPr>
            <b/>
            <sz val="9"/>
            <color indexed="81"/>
            <rFont val="Tahoma"/>
            <family val="2"/>
          </rPr>
          <t>Thompson, Annette:</t>
        </r>
        <r>
          <rPr>
            <sz val="9"/>
            <color indexed="81"/>
            <rFont val="Tahoma"/>
            <family val="2"/>
          </rPr>
          <t xml:space="preserve">
lontrel
</t>
        </r>
      </text>
    </comment>
    <comment ref="R19" authorId="0" shapeId="0" xr:uid="{84BA1E70-6111-4459-8E94-1BC9E88D109E}">
      <text>
        <r>
          <rPr>
            <b/>
            <sz val="9"/>
            <color indexed="81"/>
            <rFont val="Tahoma"/>
            <family val="2"/>
          </rPr>
          <t>Thompson, Annette:</t>
        </r>
        <r>
          <rPr>
            <sz val="9"/>
            <color indexed="81"/>
            <rFont val="Tahoma"/>
            <family val="2"/>
          </rPr>
          <t xml:space="preserve">
nativeklean
</t>
        </r>
      </text>
    </comment>
    <comment ref="R20" authorId="0" shapeId="0" xr:uid="{8B62AA74-72F0-4980-9702-4D8AC3B51196}">
      <text>
        <r>
          <rPr>
            <b/>
            <sz val="9"/>
            <color indexed="81"/>
            <rFont val="Tahoma"/>
            <family val="2"/>
          </rPr>
          <t>Thompson, Annette:</t>
        </r>
        <r>
          <rPr>
            <sz val="9"/>
            <color indexed="81"/>
            <rFont val="Tahoma"/>
            <family val="2"/>
          </rPr>
          <t xml:space="preserve">
sapphire
</t>
        </r>
      </text>
    </comment>
    <comment ref="R21" authorId="0" shapeId="0" xr:uid="{ED0D5016-46AD-4CF8-B245-0EABA3FFABFF}">
      <text>
        <r>
          <rPr>
            <b/>
            <sz val="9"/>
            <color indexed="81"/>
            <rFont val="Tahoma"/>
            <family val="2"/>
          </rPr>
          <t>Thompson, Annette:</t>
        </r>
        <r>
          <rPr>
            <sz val="9"/>
            <color indexed="81"/>
            <rFont val="Tahoma"/>
            <family val="2"/>
          </rPr>
          <t xml:space="preserve">
turflon ester ultra
</t>
        </r>
      </text>
    </comment>
    <comment ref="R23" authorId="0" shapeId="0" xr:uid="{A96BDDF3-7EEB-4553-B754-38E24C4EBEB9}">
      <text>
        <r>
          <rPr>
            <b/>
            <sz val="9"/>
            <color indexed="81"/>
            <rFont val="Tahoma"/>
            <family val="2"/>
          </rPr>
          <t>Thompson, Annette:</t>
        </r>
        <r>
          <rPr>
            <sz val="9"/>
            <color indexed="81"/>
            <rFont val="Tahoma"/>
            <family val="2"/>
          </rPr>
          <t xml:space="preserve">
conserve sc</t>
        </r>
      </text>
    </comment>
    <comment ref="R24" authorId="0" shapeId="0" xr:uid="{E9B64EE3-E8FE-4D7D-8B99-42B44C982A17}">
      <text>
        <r>
          <rPr>
            <b/>
            <sz val="9"/>
            <color indexed="81"/>
            <rFont val="Tahoma"/>
            <family val="2"/>
          </rPr>
          <t>Thompson, Annette:</t>
        </r>
        <r>
          <rPr>
            <sz val="9"/>
            <color indexed="81"/>
            <rFont val="Tahoma"/>
            <family val="2"/>
          </rPr>
          <t xml:space="preserve">
dursban 50w
</t>
        </r>
      </text>
    </comment>
    <comment ref="R25" authorId="0" shapeId="0" xr:uid="{05766827-28EE-46CA-ABD2-1FE5BC26E44C}">
      <text>
        <r>
          <rPr>
            <b/>
            <sz val="9"/>
            <color indexed="81"/>
            <rFont val="Tahoma"/>
            <family val="2"/>
          </rPr>
          <t>Thompson, Annette:</t>
        </r>
        <r>
          <rPr>
            <sz val="9"/>
            <color indexed="81"/>
            <rFont val="Tahoma"/>
            <family val="2"/>
          </rPr>
          <t xml:space="preserve">
matchpoint
</t>
        </r>
      </text>
    </comment>
    <comment ref="R27" authorId="0" shapeId="0" xr:uid="{86A2A0DB-15BA-4575-BE28-8F0FECE8123D}">
      <text>
        <r>
          <rPr>
            <b/>
            <sz val="9"/>
            <color indexed="81"/>
            <rFont val="Tahoma"/>
            <family val="2"/>
          </rPr>
          <t>Thompson, Annette:</t>
        </r>
        <r>
          <rPr>
            <sz val="9"/>
            <color indexed="81"/>
            <rFont val="Tahoma"/>
            <family val="2"/>
          </rPr>
          <t xml:space="preserve">
dithane 75df
</t>
        </r>
      </text>
    </comment>
    <comment ref="R29" authorId="0" shapeId="0" xr:uid="{7D512D33-1065-4F2C-924C-5A988ED0A9D6}">
      <text>
        <r>
          <rPr>
            <b/>
            <sz val="9"/>
            <color indexed="81"/>
            <rFont val="Tahoma"/>
            <family val="2"/>
          </rPr>
          <t>Thompson, Annette:</t>
        </r>
        <r>
          <rPr>
            <sz val="9"/>
            <color indexed="81"/>
            <rFont val="Tahoma"/>
            <family val="2"/>
          </rPr>
          <t xml:space="preserve">
fore wsp</t>
        </r>
      </text>
    </comment>
    <comment ref="R31" authorId="0" shapeId="0" xr:uid="{210A7F9A-E2A2-4E88-A9DE-0CA8B98EE5AC}">
      <text>
        <r>
          <rPr>
            <b/>
            <sz val="9"/>
            <color indexed="81"/>
            <rFont val="Tahoma"/>
            <family val="2"/>
          </rPr>
          <t>Thompson, Annette:</t>
        </r>
        <r>
          <rPr>
            <sz val="9"/>
            <color indexed="81"/>
            <rFont val="Tahoma"/>
            <family val="2"/>
          </rPr>
          <t xml:space="preserve">
Confront</t>
        </r>
      </text>
    </comment>
    <comment ref="R36" authorId="0" shapeId="0" xr:uid="{A5A477F4-4D79-4EA2-9D71-9D298D8967DF}">
      <text>
        <r>
          <rPr>
            <b/>
            <sz val="9"/>
            <color indexed="81"/>
            <rFont val="Tahoma"/>
            <family val="2"/>
          </rPr>
          <t>Thompson, Annette:</t>
        </r>
        <r>
          <rPr>
            <sz val="9"/>
            <color indexed="81"/>
            <rFont val="Tahoma"/>
            <family val="2"/>
          </rPr>
          <t xml:space="preserve">
Dimension</t>
        </r>
      </text>
    </comment>
    <comment ref="R41" authorId="0" shapeId="0" xr:uid="{C863F37D-01E2-4449-A456-15133C4ECF21}">
      <text>
        <r>
          <rPr>
            <b/>
            <sz val="9"/>
            <color indexed="81"/>
            <rFont val="Tahoma"/>
            <family val="2"/>
          </rPr>
          <t>Thompson, Annette:</t>
        </r>
        <r>
          <rPr>
            <sz val="9"/>
            <color indexed="81"/>
            <rFont val="Tahoma"/>
            <family val="2"/>
          </rPr>
          <t xml:space="preserve">
Eagle</t>
        </r>
      </text>
    </comment>
    <comment ref="R44" authorId="0" shapeId="0" xr:uid="{4FACBBD6-EE99-4FC0-A503-0E5CB1777DE6}">
      <text>
        <r>
          <rPr>
            <b/>
            <sz val="9"/>
            <color indexed="81"/>
            <rFont val="Tahoma"/>
            <family val="2"/>
          </rPr>
          <t>Thompson, Annette:</t>
        </r>
        <r>
          <rPr>
            <sz val="9"/>
            <color indexed="81"/>
            <rFont val="Tahoma"/>
            <family val="2"/>
          </rPr>
          <t xml:space="preserve">
gallery 75DF</t>
        </r>
      </text>
    </comment>
    <comment ref="R45" authorId="0" shapeId="0" xr:uid="{C294CA5F-1491-4CE2-A402-E12FC801D080}">
      <text>
        <r>
          <rPr>
            <b/>
            <sz val="9"/>
            <color indexed="81"/>
            <rFont val="Tahoma"/>
            <family val="2"/>
          </rPr>
          <t>Thompson, Annette:</t>
        </r>
        <r>
          <rPr>
            <sz val="9"/>
            <color indexed="81"/>
            <rFont val="Tahoma"/>
            <family val="2"/>
          </rPr>
          <t xml:space="preserve">
lockup</t>
        </r>
      </text>
    </comment>
  </commentList>
</comments>
</file>

<file path=xl/sharedStrings.xml><?xml version="1.0" encoding="utf-8"?>
<sst xmlns="http://schemas.openxmlformats.org/spreadsheetml/2006/main" count="2098" uniqueCount="575">
  <si>
    <t>Gallery SC</t>
  </si>
  <si>
    <t>Relzar</t>
  </si>
  <si>
    <t>Case</t>
  </si>
  <si>
    <t>Gallon</t>
  </si>
  <si>
    <t>Acre</t>
  </si>
  <si>
    <t>1 product</t>
  </si>
  <si>
    <t>3 products</t>
  </si>
  <si>
    <t>4 products</t>
  </si>
  <si>
    <t>5 products</t>
  </si>
  <si>
    <t>2 products</t>
  </si>
  <si>
    <t>Base</t>
  </si>
  <si>
    <t>Base x 8%</t>
  </si>
  <si>
    <t>Base x 5%</t>
  </si>
  <si>
    <t>Base x 11%</t>
  </si>
  <si>
    <t>Base x 15%</t>
  </si>
  <si>
    <t>6 products</t>
  </si>
  <si>
    <t>7 products</t>
  </si>
  <si>
    <t>8 products</t>
  </si>
  <si>
    <t>Base x 18%</t>
  </si>
  <si>
    <t>Base x 21%</t>
  </si>
  <si>
    <t>Base x 25%</t>
  </si>
  <si>
    <t>Unit of Measure</t>
  </si>
  <si>
    <t>Rebate $/Unit</t>
  </si>
  <si>
    <t>ENTER Quantity</t>
  </si>
  <si>
    <t>TOTAL Rebate</t>
  </si>
  <si>
    <t xml:space="preserve">Confront® </t>
  </si>
  <si>
    <t xml:space="preserve">Confront 3 </t>
  </si>
  <si>
    <t>Confront 3 plus Dimension on Fertilizer/Granules</t>
  </si>
  <si>
    <t xml:space="preserve">Confront TR </t>
  </si>
  <si>
    <t xml:space="preserve">Confront 0.68% on Fertilizer </t>
  </si>
  <si>
    <t>Conserve® SC insecticide</t>
  </si>
  <si>
    <t>Cuatro with Dimension® specialty herbicide plus Quinclorac</t>
  </si>
  <si>
    <t>Defendor® specialty herbicide</t>
  </si>
  <si>
    <t>Dimension® 0.06% on Fertilizer/Granules</t>
  </si>
  <si>
    <t>Dimension 0.07% on Fertilizer/Granules</t>
  </si>
  <si>
    <t>Dimension 0.08% on Fertilizer/Granules</t>
  </si>
  <si>
    <t>Dimension  0.09% on Fertilizer/Granules</t>
  </si>
  <si>
    <t>Dimension 0.10% on Fertilizer/Granules</t>
  </si>
  <si>
    <t>Dimension 0.103% on Fertilizer/Granules</t>
  </si>
  <si>
    <t>Dimension 0.125% on Fertilizer/Granules</t>
  </si>
  <si>
    <t>Dimension 0.13% on Fertilizer/Granules</t>
  </si>
  <si>
    <t>Dimension 0.15% on Fertilizer/Granules</t>
  </si>
  <si>
    <t>Dimension 0.164% on Fertilizer/Granules</t>
  </si>
  <si>
    <t>Dimension 0.17% on Fertilizer/Granules</t>
  </si>
  <si>
    <t>Dimension 0.19% on Fertilizer/Granules</t>
  </si>
  <si>
    <t>Dimension 0.21% on Fertilizer/Granules</t>
  </si>
  <si>
    <t>Dimension 0.22% on Fertilizer/Granules</t>
  </si>
  <si>
    <t>Dimension 0.25% on Fertilizer/Granules</t>
  </si>
  <si>
    <t>Dimension 0.27% Granule</t>
  </si>
  <si>
    <t xml:space="preserve">Dimension 0.17% &amp; LockUp 0.01%  </t>
  </si>
  <si>
    <t>Dimension Ultra 40WP</t>
  </si>
  <si>
    <t xml:space="preserve">Dimension 2EW </t>
  </si>
  <si>
    <t>Defendor + Dimension Value Pak</t>
  </si>
  <si>
    <t xml:space="preserve">Case </t>
  </si>
  <si>
    <t>Dithane® 75DF</t>
  </si>
  <si>
    <t>Dursban® 50W</t>
  </si>
  <si>
    <t xml:space="preserve">Eagle® 20EW </t>
  </si>
  <si>
    <t>Eagle 0.39% on Fertilizer/Granules</t>
  </si>
  <si>
    <t xml:space="preserve">Eagle 0.62% on Fertilizer/Granules </t>
  </si>
  <si>
    <t>Fore® WSP fungicide</t>
  </si>
  <si>
    <t>Gallery® specialty herbicide 0.38% on Fertilizer/Granules</t>
  </si>
  <si>
    <t>Gallery 75DF</t>
  </si>
  <si>
    <t>Kerb® SC T&amp;O specialty herbicide</t>
  </si>
  <si>
    <t>Lesco Mancozeb DG</t>
  </si>
  <si>
    <t>Lesco Mancozeb 4F</t>
  </si>
  <si>
    <t>LockUp® Herbicide 0.01% on Fertilizer/Granules</t>
  </si>
  <si>
    <t>LockUp Herbicide 0.014% on Fertilizer/Granules</t>
  </si>
  <si>
    <t>LockUp Herbicide 0.03% on Fertilizer/Granules</t>
  </si>
  <si>
    <t xml:space="preserve">LockUp Herbicide 0.04% on Fertilizer/Granules </t>
  </si>
  <si>
    <t>Lontrel® T&amp;O specialty herbicide</t>
  </si>
  <si>
    <t>MatchPoint® specialty insecticide</t>
  </si>
  <si>
    <t>Sapphire® specialty herbicide</t>
  </si>
  <si>
    <t>Snapshot® DG specialty herbicide</t>
  </si>
  <si>
    <t>Snapshot 2.5TG</t>
  </si>
  <si>
    <t>Turflon® Ester Ultra specialty herbicide</t>
  </si>
  <si>
    <t xml:space="preserve">TOTAL REBATE </t>
  </si>
  <si>
    <t>Dimension 2EW (2.5 gal)</t>
  </si>
  <si>
    <t>Carton</t>
  </si>
  <si>
    <t xml:space="preserve">Confront 3 plus Dimension </t>
  </si>
  <si>
    <t xml:space="preserve">Confront 0.68% </t>
  </si>
  <si>
    <t xml:space="preserve">Dimension 0.07% </t>
  </si>
  <si>
    <t xml:space="preserve">Dimension 0.08% </t>
  </si>
  <si>
    <t xml:space="preserve">Dimension  0.09% </t>
  </si>
  <si>
    <t xml:space="preserve">Dimension 0.10% </t>
  </si>
  <si>
    <t xml:space="preserve">Dimension 0.103% </t>
  </si>
  <si>
    <t xml:space="preserve">Dimension 0.125% </t>
  </si>
  <si>
    <t xml:space="preserve">Dimension 0.13% </t>
  </si>
  <si>
    <t xml:space="preserve">Dimension 0.15% </t>
  </si>
  <si>
    <t xml:space="preserve">Dimension 0.164% </t>
  </si>
  <si>
    <t xml:space="preserve">Dimension 0.17% </t>
  </si>
  <si>
    <t xml:space="preserve">Dimension 0.19% </t>
  </si>
  <si>
    <t xml:space="preserve">Dimension 0.21% </t>
  </si>
  <si>
    <t xml:space="preserve">Dimension 0.22% </t>
  </si>
  <si>
    <t>Dimension 0.25%</t>
  </si>
  <si>
    <t xml:space="preserve">Dimension 0.27% </t>
  </si>
  <si>
    <t xml:space="preserve">Eagle 0.39% </t>
  </si>
  <si>
    <t>Eagle 0.62%</t>
  </si>
  <si>
    <t xml:space="preserve">LockUp   0.014% </t>
  </si>
  <si>
    <t>LockUp   0.03%</t>
  </si>
  <si>
    <t xml:space="preserve">LockUp   0.04% </t>
  </si>
  <si>
    <r>
      <t>Cuatro with Dimension</t>
    </r>
    <r>
      <rPr>
        <b/>
        <vertAlign val="superscript"/>
        <sz val="11"/>
        <color rgb="FF000000"/>
        <rFont val="Arial Narrow"/>
        <family val="2"/>
      </rPr>
      <t>®</t>
    </r>
    <r>
      <rPr>
        <b/>
        <sz val="11"/>
        <color rgb="FF000000"/>
        <rFont val="Arial Narrow"/>
        <family val="2"/>
      </rPr>
      <t xml:space="preserve"> plus Quinclorac</t>
    </r>
  </si>
  <si>
    <r>
      <t>Dimension</t>
    </r>
    <r>
      <rPr>
        <b/>
        <vertAlign val="superscript"/>
        <sz val="11"/>
        <color rgb="FF000000"/>
        <rFont val="Arial"/>
        <family val="2"/>
      </rPr>
      <t xml:space="preserve">® </t>
    </r>
    <r>
      <rPr>
        <b/>
        <sz val="11"/>
        <color rgb="FF000000"/>
        <rFont val="Arial Narrow"/>
        <family val="2"/>
      </rPr>
      <t xml:space="preserve">0.06% </t>
    </r>
  </si>
  <si>
    <r>
      <t>Gallery</t>
    </r>
    <r>
      <rPr>
        <b/>
        <vertAlign val="superscript"/>
        <sz val="11"/>
        <color rgb="FF000000"/>
        <rFont val="Arial Narrow"/>
        <family val="2"/>
      </rPr>
      <t>®</t>
    </r>
    <r>
      <rPr>
        <b/>
        <sz val="11"/>
        <color rgb="FF000000"/>
        <rFont val="Arial Narrow"/>
        <family val="2"/>
      </rPr>
      <t xml:space="preserve">   0.38%</t>
    </r>
  </si>
  <si>
    <r>
      <t>LockUp</t>
    </r>
    <r>
      <rPr>
        <b/>
        <vertAlign val="superscript"/>
        <sz val="11"/>
        <color rgb="FF000000"/>
        <rFont val="Arial Narrow"/>
        <family val="2"/>
      </rPr>
      <t>®</t>
    </r>
    <r>
      <rPr>
        <b/>
        <sz val="11"/>
        <color rgb="FF000000"/>
        <rFont val="Arial Narrow"/>
        <family val="2"/>
      </rPr>
      <t xml:space="preserve">  0.01% </t>
    </r>
  </si>
  <si>
    <r>
      <t>Kerb</t>
    </r>
    <r>
      <rPr>
        <b/>
        <vertAlign val="superscript"/>
        <sz val="12"/>
        <color rgb="FF000000"/>
        <rFont val="Arial Narrow"/>
        <family val="2"/>
      </rPr>
      <t>®</t>
    </r>
    <r>
      <rPr>
        <b/>
        <sz val="12"/>
        <color rgb="FF000000"/>
        <rFont val="Arial Narrow"/>
        <family val="2"/>
      </rPr>
      <t xml:space="preserve"> SC T&amp;O specialty herbicide</t>
    </r>
  </si>
  <si>
    <r>
      <rPr>
        <b/>
        <sz val="12"/>
        <color theme="1"/>
        <rFont val="Arial Narrow"/>
        <family val="2"/>
      </rPr>
      <t>NativeKlean</t>
    </r>
    <r>
      <rPr>
        <sz val="12"/>
        <color rgb="FF7030A0"/>
        <rFont val="Edwardian Script ITC"/>
        <family val="4"/>
      </rPr>
      <t xml:space="preserve">      </t>
    </r>
    <r>
      <rPr>
        <sz val="12"/>
        <color rgb="FF7030A0"/>
        <rFont val="Impact"/>
        <family val="2"/>
      </rPr>
      <t>New in 2019</t>
    </r>
  </si>
  <si>
    <r>
      <t>Snapshot</t>
    </r>
    <r>
      <rPr>
        <b/>
        <vertAlign val="superscript"/>
        <sz val="12"/>
        <color rgb="FF000000"/>
        <rFont val="Arial Narrow"/>
        <family val="2"/>
      </rPr>
      <t>®</t>
    </r>
    <r>
      <rPr>
        <b/>
        <sz val="12"/>
        <color rgb="FF000000"/>
        <rFont val="Arial Narrow"/>
        <family val="2"/>
      </rPr>
      <t xml:space="preserve"> DG specialty herbicide</t>
    </r>
  </si>
  <si>
    <r>
      <t>Confront</t>
    </r>
    <r>
      <rPr>
        <b/>
        <vertAlign val="superscript"/>
        <sz val="12"/>
        <color rgb="FF000000"/>
        <rFont val="Arial Narrow"/>
        <family val="2"/>
      </rPr>
      <t xml:space="preserve">® </t>
    </r>
  </si>
  <si>
    <r>
      <t>Defendor</t>
    </r>
    <r>
      <rPr>
        <b/>
        <vertAlign val="superscript"/>
        <sz val="12"/>
        <color rgb="FF000000"/>
        <rFont val="Arial Narrow"/>
        <family val="2"/>
      </rPr>
      <t>®</t>
    </r>
    <r>
      <rPr>
        <b/>
        <sz val="12"/>
        <color rgb="FF000000"/>
        <rFont val="Arial Narrow"/>
        <family val="2"/>
      </rPr>
      <t xml:space="preserve"> specialty herbicide</t>
    </r>
  </si>
  <si>
    <r>
      <t xml:space="preserve">GameOn      </t>
    </r>
    <r>
      <rPr>
        <sz val="12"/>
        <color rgb="FF7030A0"/>
        <rFont val="Impact"/>
        <family val="2"/>
      </rPr>
      <t>New in 2019</t>
    </r>
  </si>
  <si>
    <r>
      <t>Lontrel</t>
    </r>
    <r>
      <rPr>
        <b/>
        <vertAlign val="superscript"/>
        <sz val="12"/>
        <color rgb="FF000000"/>
        <rFont val="Arial Narrow"/>
        <family val="2"/>
      </rPr>
      <t xml:space="preserve">® </t>
    </r>
    <r>
      <rPr>
        <b/>
        <sz val="12"/>
        <color rgb="FF000000"/>
        <rFont val="Arial Narrow"/>
        <family val="2"/>
      </rPr>
      <t>T&amp;O specialty herbicide</t>
    </r>
  </si>
  <si>
    <r>
      <t xml:space="preserve">Relzar          </t>
    </r>
    <r>
      <rPr>
        <sz val="12"/>
        <color rgb="FF7030A0"/>
        <rFont val="Impact"/>
        <family val="2"/>
      </rPr>
      <t>New in 2019</t>
    </r>
  </si>
  <si>
    <r>
      <t>Sapphire</t>
    </r>
    <r>
      <rPr>
        <b/>
        <vertAlign val="superscript"/>
        <sz val="12"/>
        <color rgb="FF000000"/>
        <rFont val="Arial Narrow"/>
        <family val="2"/>
      </rPr>
      <t>®</t>
    </r>
    <r>
      <rPr>
        <b/>
        <sz val="12"/>
        <color rgb="FF000000"/>
        <rFont val="Arial Narrow"/>
        <family val="2"/>
      </rPr>
      <t xml:space="preserve"> specialty herbicide</t>
    </r>
  </si>
  <si>
    <r>
      <t>Turflon</t>
    </r>
    <r>
      <rPr>
        <b/>
        <strike/>
        <vertAlign val="superscript"/>
        <sz val="12"/>
        <color rgb="FF000000"/>
        <rFont val="Arial Narrow"/>
        <family val="2"/>
      </rPr>
      <t>®</t>
    </r>
    <r>
      <rPr>
        <b/>
        <sz val="12"/>
        <color rgb="FF000000"/>
        <rFont val="Arial Narrow"/>
        <family val="2"/>
      </rPr>
      <t xml:space="preserve"> Ester Ultra specialty herbicide</t>
    </r>
  </si>
  <si>
    <r>
      <t>Conserve</t>
    </r>
    <r>
      <rPr>
        <b/>
        <vertAlign val="superscript"/>
        <sz val="12"/>
        <color rgb="FF000000"/>
        <rFont val="Arial"/>
        <family val="2"/>
      </rPr>
      <t>®</t>
    </r>
    <r>
      <rPr>
        <b/>
        <sz val="12"/>
        <color rgb="FF000000"/>
        <rFont val="Arial Narrow"/>
        <family val="2"/>
      </rPr>
      <t xml:space="preserve"> SC insecticide</t>
    </r>
  </si>
  <si>
    <r>
      <t>Dursban</t>
    </r>
    <r>
      <rPr>
        <b/>
        <vertAlign val="superscript"/>
        <sz val="12"/>
        <color rgb="FF000000"/>
        <rFont val="Arial"/>
        <family val="2"/>
      </rPr>
      <t>®</t>
    </r>
    <r>
      <rPr>
        <b/>
        <sz val="12"/>
        <color rgb="FF000000"/>
        <rFont val="Arial Narrow"/>
        <family val="2"/>
      </rPr>
      <t xml:space="preserve"> 50W</t>
    </r>
  </si>
  <si>
    <t>2000 lbs.</t>
  </si>
  <si>
    <t>Curfew soil fumigant</t>
  </si>
  <si>
    <t xml:space="preserve">Insecticides </t>
  </si>
  <si>
    <t xml:space="preserve">Fungicides </t>
  </si>
  <si>
    <t xml:space="preserve">Post-emergent Herbicides </t>
  </si>
  <si>
    <t xml:space="preserve">Pre-emergent Herbicides </t>
  </si>
  <si>
    <t>Control Products on Fertilizer/Granules</t>
  </si>
  <si>
    <t>Special EOP Pallet Rebates</t>
  </si>
  <si>
    <r>
      <t>Snapshot</t>
    </r>
    <r>
      <rPr>
        <b/>
        <vertAlign val="superscript"/>
        <sz val="12"/>
        <color rgb="FF000000"/>
        <rFont val="Arial Narrow"/>
        <family val="2"/>
      </rPr>
      <t>®</t>
    </r>
    <r>
      <rPr>
        <b/>
        <sz val="12"/>
        <color rgb="FF000000"/>
        <rFont val="Arial Narrow"/>
        <family val="2"/>
      </rPr>
      <t xml:space="preserve"> DG </t>
    </r>
  </si>
  <si>
    <t>2100 lbs</t>
  </si>
  <si>
    <t>Eagle 0.39%  30 lb. bag</t>
  </si>
  <si>
    <t>150 gal</t>
  </si>
  <si>
    <t>180 gal</t>
  </si>
  <si>
    <t>Intrepid 2F</t>
  </si>
  <si>
    <t>Kerb SC T&amp;O specialty herbicide</t>
  </si>
  <si>
    <t>Fore WSP</t>
  </si>
  <si>
    <t>Dithane 75DF</t>
  </si>
  <si>
    <t>18 Cases</t>
  </si>
  <si>
    <r>
      <t xml:space="preserve">XXpire WG   </t>
    </r>
    <r>
      <rPr>
        <b/>
        <sz val="11"/>
        <color rgb="FFFF0000"/>
        <rFont val="Arial Narrow"/>
        <family val="2"/>
      </rPr>
      <t>New in 2019</t>
    </r>
  </si>
  <si>
    <r>
      <rPr>
        <b/>
        <sz val="12"/>
        <color theme="1"/>
        <rFont val="Arial Narrow"/>
        <family val="2"/>
      </rPr>
      <t>Crew  G</t>
    </r>
    <r>
      <rPr>
        <sz val="12"/>
        <color theme="1"/>
        <rFont val="Calibri"/>
        <family val="2"/>
        <scheme val="minor"/>
      </rPr>
      <t xml:space="preserve">   </t>
    </r>
    <r>
      <rPr>
        <sz val="12"/>
        <color rgb="FF7030A0"/>
        <rFont val="Impact"/>
        <family val="2"/>
      </rPr>
      <t>New in 2019</t>
    </r>
  </si>
  <si>
    <t xml:space="preserve">Dimension 2EW 30 Gal </t>
  </si>
  <si>
    <t xml:space="preserve">GameOn </t>
  </si>
  <si>
    <r>
      <rPr>
        <b/>
        <sz val="12"/>
        <color theme="1"/>
        <rFont val="Arial Narrow"/>
        <family val="2"/>
      </rPr>
      <t>Crew</t>
    </r>
    <r>
      <rPr>
        <sz val="12"/>
        <color theme="1"/>
        <rFont val="Calibri"/>
        <family val="2"/>
        <scheme val="minor"/>
      </rPr>
      <t xml:space="preserve">  </t>
    </r>
  </si>
  <si>
    <t xml:space="preserve">Entrust SC - Omri </t>
  </si>
  <si>
    <r>
      <rPr>
        <b/>
        <sz val="14"/>
        <color rgb="FF000000"/>
        <rFont val="Arial Narrow"/>
        <family val="2"/>
      </rPr>
      <t>Fore</t>
    </r>
    <r>
      <rPr>
        <b/>
        <vertAlign val="superscript"/>
        <sz val="12"/>
        <color rgb="FF000000"/>
        <rFont val="Arial Narrow"/>
        <family val="2"/>
      </rPr>
      <t>®</t>
    </r>
    <r>
      <rPr>
        <b/>
        <sz val="12"/>
        <color rgb="FF000000"/>
        <rFont val="Arial Narrow"/>
        <family val="2"/>
      </rPr>
      <t xml:space="preserve"> </t>
    </r>
    <r>
      <rPr>
        <sz val="12"/>
        <color rgb="FF000000"/>
        <rFont val="Arial Narrow"/>
        <family val="2"/>
      </rPr>
      <t>WSP</t>
    </r>
  </si>
  <si>
    <r>
      <t>Eagle</t>
    </r>
    <r>
      <rPr>
        <b/>
        <vertAlign val="superscript"/>
        <sz val="12"/>
        <color rgb="FF000000"/>
        <rFont val="Arial"/>
        <family val="2"/>
      </rPr>
      <t>®</t>
    </r>
    <r>
      <rPr>
        <b/>
        <sz val="12"/>
        <color rgb="FF000000"/>
        <rFont val="Arial Narrow"/>
        <family val="2"/>
      </rPr>
      <t xml:space="preserve"> </t>
    </r>
    <r>
      <rPr>
        <sz val="12"/>
        <color rgb="FF000000"/>
        <rFont val="Arial Narrow"/>
        <family val="2"/>
      </rPr>
      <t xml:space="preserve">20EW </t>
    </r>
  </si>
  <si>
    <r>
      <t>Dithane</t>
    </r>
    <r>
      <rPr>
        <b/>
        <vertAlign val="superscript"/>
        <sz val="12"/>
        <color rgb="FF000000"/>
        <rFont val="Arial"/>
        <family val="2"/>
      </rPr>
      <t>®</t>
    </r>
    <r>
      <rPr>
        <b/>
        <sz val="12"/>
        <color rgb="FF000000"/>
        <rFont val="Arial Narrow"/>
        <family val="2"/>
      </rPr>
      <t xml:space="preserve"> </t>
    </r>
    <r>
      <rPr>
        <sz val="12"/>
        <color rgb="FF000000"/>
        <rFont val="Arial Narrow"/>
        <family val="2"/>
      </rPr>
      <t>75DF</t>
    </r>
  </si>
  <si>
    <t>It's Simple to Ramp up Your Reward</t>
  </si>
  <si>
    <t>2. Multiply your Base Rebate by correct multipier</t>
  </si>
  <si>
    <t>3. See your Rebate Grow</t>
  </si>
  <si>
    <t>4. Select Rebate Check or Distributor Credit</t>
  </si>
  <si>
    <t># Products Purchased</t>
  </si>
  <si>
    <t>Rebate Multiplier</t>
  </si>
  <si>
    <t>1. Add how many products you are purchasing</t>
  </si>
  <si>
    <t xml:space="preserve"> </t>
  </si>
  <si>
    <t xml:space="preserve">Base Rebate         =  </t>
  </si>
  <si>
    <t xml:space="preserve">POM Bonus           =      </t>
  </si>
  <si>
    <t>Total Rebate (Base+Bonus)      =</t>
  </si>
  <si>
    <t>Thank You for Your Business!</t>
  </si>
  <si>
    <r>
      <t xml:space="preserve">5. Apply and track progress at </t>
    </r>
    <r>
      <rPr>
        <sz val="16"/>
        <color rgb="FF00B050"/>
        <rFont val="Calibri"/>
        <family val="2"/>
        <scheme val="minor"/>
      </rPr>
      <t>mypowerofmore.com</t>
    </r>
  </si>
  <si>
    <t>Dimension 2EW 2.5 Gal</t>
  </si>
  <si>
    <t>DSR Reward          =</t>
  </si>
  <si>
    <t>Corteva Exposure</t>
  </si>
  <si>
    <t xml:space="preserve">X multiplier          =    </t>
  </si>
  <si>
    <t>Product</t>
  </si>
  <si>
    <t>Quantity EOP</t>
  </si>
  <si>
    <t>EOP $$</t>
  </si>
  <si>
    <t>EOP % of Program</t>
  </si>
  <si>
    <t>Quantity Reg</t>
  </si>
  <si>
    <t>Reg. $$</t>
  </si>
  <si>
    <t>Total $$</t>
  </si>
  <si>
    <t>EOP% of Net</t>
  </si>
  <si>
    <t>%of Net</t>
  </si>
  <si>
    <t>EDI Total 17-18</t>
  </si>
  <si>
    <t>EDI QTY 2017</t>
  </si>
  <si>
    <t>EDI $2017</t>
  </si>
  <si>
    <t>EDI QTY 2018</t>
  </si>
  <si>
    <t>EDI $ 2018</t>
  </si>
  <si>
    <t>Dimension Tech</t>
  </si>
  <si>
    <t>LockUp Tech</t>
  </si>
  <si>
    <t xml:space="preserve">Curfew </t>
  </si>
  <si>
    <t>Online Control Products Fertilizer/Granules</t>
  </si>
  <si>
    <t>180 gal.</t>
  </si>
  <si>
    <t>10 Cases</t>
  </si>
  <si>
    <t>4 Bottles</t>
  </si>
  <si>
    <t>500 lbs</t>
  </si>
  <si>
    <t>500 lbs.</t>
  </si>
  <si>
    <t>2 Cases</t>
  </si>
  <si>
    <t>Minimum Quantity</t>
  </si>
  <si>
    <t>Minumum Quantity</t>
  </si>
  <si>
    <t>10 bags</t>
  </si>
  <si>
    <t>4 gal</t>
  </si>
  <si>
    <t>5 gal</t>
  </si>
  <si>
    <t>4 lbs.</t>
  </si>
  <si>
    <t>4 quart</t>
  </si>
  <si>
    <t>Approx $</t>
  </si>
  <si>
    <t>20 bags</t>
  </si>
  <si>
    <t>Total Purchase</t>
  </si>
  <si>
    <t>Reward % of purchase</t>
  </si>
  <si>
    <t>TOT Reb. % of Purchase</t>
  </si>
  <si>
    <t>Base Reb. % of Purch.</t>
  </si>
  <si>
    <t>Total % of Purchase</t>
  </si>
  <si>
    <t>ML $</t>
  </si>
  <si>
    <t>Total Cust.</t>
  </si>
  <si>
    <t>Total Corteva</t>
  </si>
  <si>
    <t>Corteva Tot.Pur</t>
  </si>
  <si>
    <t>Reward % Purch</t>
  </si>
  <si>
    <t>Tot Reb % Purch</t>
  </si>
  <si>
    <t>Approx. Actua $</t>
  </si>
  <si>
    <r>
      <t>Kerb</t>
    </r>
    <r>
      <rPr>
        <b/>
        <vertAlign val="superscript"/>
        <sz val="12"/>
        <color rgb="FF000000"/>
        <rFont val="Arial Narrow"/>
        <family val="2"/>
      </rPr>
      <t>®</t>
    </r>
    <r>
      <rPr>
        <b/>
        <sz val="12"/>
        <color rgb="FF000000"/>
        <rFont val="Arial Narrow"/>
        <family val="2"/>
      </rPr>
      <t xml:space="preserve"> SC T&amp;O </t>
    </r>
  </si>
  <si>
    <r>
      <t>Lontrel</t>
    </r>
    <r>
      <rPr>
        <b/>
        <vertAlign val="superscript"/>
        <sz val="12"/>
        <color rgb="FF000000"/>
        <rFont val="Arial Narrow"/>
        <family val="2"/>
      </rPr>
      <t xml:space="preserve">® </t>
    </r>
    <r>
      <rPr>
        <b/>
        <sz val="12"/>
        <color rgb="FF000000"/>
        <rFont val="Arial Narrow"/>
        <family val="2"/>
      </rPr>
      <t xml:space="preserve">T&amp;O </t>
    </r>
  </si>
  <si>
    <r>
      <t>Turflon</t>
    </r>
    <r>
      <rPr>
        <b/>
        <strike/>
        <vertAlign val="superscript"/>
        <sz val="12"/>
        <color rgb="FF000000"/>
        <rFont val="Arial Narrow"/>
        <family val="2"/>
      </rPr>
      <t>®</t>
    </r>
    <r>
      <rPr>
        <b/>
        <sz val="12"/>
        <color rgb="FF000000"/>
        <rFont val="Arial Narrow"/>
        <family val="2"/>
      </rPr>
      <t xml:space="preserve"> Ester Ultra </t>
    </r>
  </si>
  <si>
    <r>
      <t>Defendor</t>
    </r>
    <r>
      <rPr>
        <b/>
        <vertAlign val="superscript"/>
        <sz val="12"/>
        <color rgb="FF000000"/>
        <rFont val="Arial Narrow"/>
        <family val="2"/>
      </rPr>
      <t>®</t>
    </r>
    <r>
      <rPr>
        <b/>
        <sz val="12"/>
        <color rgb="FF000000"/>
        <rFont val="Arial Narrow"/>
        <family val="2"/>
      </rPr>
      <t xml:space="preserve"> </t>
    </r>
  </si>
  <si>
    <r>
      <t>Sapphire</t>
    </r>
    <r>
      <rPr>
        <b/>
        <vertAlign val="superscript"/>
        <sz val="12"/>
        <color rgb="FF000000"/>
        <rFont val="Arial Narrow"/>
        <family val="2"/>
      </rPr>
      <t>®</t>
    </r>
    <r>
      <rPr>
        <b/>
        <sz val="12"/>
        <color rgb="FF000000"/>
        <rFont val="Arial Narrow"/>
        <family val="2"/>
      </rPr>
      <t xml:space="preserve"> </t>
    </r>
  </si>
  <si>
    <t xml:space="preserve">MatchPoint® </t>
  </si>
  <si>
    <t xml:space="preserve">Kerb SC T&amp;O </t>
  </si>
  <si>
    <r>
      <t>Snapshot</t>
    </r>
    <r>
      <rPr>
        <b/>
        <vertAlign val="superscript"/>
        <sz val="12"/>
        <color rgb="FF000000"/>
        <rFont val="Arial Narrow"/>
        <family val="2"/>
      </rPr>
      <t>®</t>
    </r>
    <r>
      <rPr>
        <b/>
        <sz val="12"/>
        <color rgb="FF000000"/>
        <rFont val="Arial Narrow"/>
        <family val="2"/>
      </rPr>
      <t xml:space="preserve"> DG</t>
    </r>
  </si>
  <si>
    <t>Customer</t>
  </si>
  <si>
    <t>BaseReb % Purch</t>
  </si>
  <si>
    <t>Corteva off ML</t>
  </si>
  <si>
    <t>TOTAL Cust.</t>
  </si>
  <si>
    <t>TOTAL Cust</t>
  </si>
  <si>
    <t>MatchPoint</t>
  </si>
  <si>
    <t>48 Cases</t>
  </si>
  <si>
    <t>1 gal</t>
  </si>
  <si>
    <t>18 cases</t>
  </si>
  <si>
    <t>Golf</t>
  </si>
  <si>
    <t>Nursery</t>
  </si>
  <si>
    <t>10 cases</t>
  </si>
  <si>
    <t>N/A</t>
  </si>
  <si>
    <t>$100 per jug rebate - golf management proposition gets us half way to generic list price</t>
  </si>
  <si>
    <t>Make it clear to big LCO the rebate to consider when deciding versus prodiamine</t>
  </si>
  <si>
    <t>Standard</t>
  </si>
  <si>
    <t>2000 lbs</t>
  </si>
  <si>
    <t xml:space="preserve">Crew  </t>
  </si>
  <si>
    <t>No Change, adjusted for pallet quantity</t>
  </si>
  <si>
    <t>help early adoption of new product</t>
  </si>
  <si>
    <t>XXpire WG   New in 2019</t>
  </si>
  <si>
    <t>lowered to balance out with bonus structure</t>
  </si>
  <si>
    <t>bring awareness to this rotation tool</t>
  </si>
  <si>
    <t>case</t>
  </si>
  <si>
    <t>ease of math on worksheet</t>
  </si>
  <si>
    <t>encourage Curfew reps to X-sell and book early business</t>
  </si>
  <si>
    <t>Increase price awareness and open new customers to product</t>
  </si>
  <si>
    <t>gallon</t>
  </si>
  <si>
    <t>2 cases</t>
  </si>
  <si>
    <t>Fore® WSP</t>
  </si>
  <si>
    <t>worthless on current POM - need to help this product get more attention in program</t>
  </si>
  <si>
    <t>open new customers to performance get net under $100/A</t>
  </si>
  <si>
    <t>4 bottles</t>
  </si>
  <si>
    <t>Relzar          New in 2019</t>
  </si>
  <si>
    <t>NativeKlean      New in 2019</t>
  </si>
  <si>
    <t>nursery</t>
  </si>
  <si>
    <t>GameOn      New in 2019</t>
  </si>
  <si>
    <t>golf</t>
  </si>
  <si>
    <t>standard</t>
  </si>
  <si>
    <t xml:space="preserve">Snapshot® DG </t>
  </si>
  <si>
    <t>Raised to get cost more inline with Specticle and start helping against generic pronomide pressure</t>
  </si>
  <si>
    <t>Golf/Nursery</t>
  </si>
  <si>
    <t>Crew  G   New in 2019</t>
  </si>
  <si>
    <t>Rationalization</t>
  </si>
  <si>
    <t>New EOP$</t>
  </si>
  <si>
    <t>Old EOP$</t>
  </si>
  <si>
    <t>Old program</t>
  </si>
  <si>
    <t>New Minimum</t>
  </si>
  <si>
    <t>**Need to manually adjust multiplier**</t>
  </si>
  <si>
    <t>Green = product $ increase due to lagging performance in program (see Data tab) from missing opportunities or no to low benefit to making purchase in EOP</t>
  </si>
  <si>
    <t>Hide Rows not highlighted - those have been compiled into 'Tech'</t>
  </si>
  <si>
    <t>Red = underperforming in program, little or not benefit to purchase in EOP</t>
  </si>
  <si>
    <t>2 Years of POM vs EDI Data</t>
  </si>
  <si>
    <t>Functional Worksheet</t>
  </si>
  <si>
    <t>Corteva Exposure Worksheet</t>
  </si>
  <si>
    <t>Customer Approx. Price</t>
  </si>
  <si>
    <t>Corteva % Exposure</t>
  </si>
  <si>
    <t>Price Changes for New Program</t>
  </si>
  <si>
    <t xml:space="preserve">Modeling Examples Real 2018 Submissions VS. Prototype </t>
  </si>
  <si>
    <t>6 cases Dimension</t>
  </si>
  <si>
    <t>6 cases Fore</t>
  </si>
  <si>
    <t>Customer 1</t>
  </si>
  <si>
    <t>2 cases Turflon</t>
  </si>
  <si>
    <t>NewPayout</t>
  </si>
  <si>
    <t>Old Payout</t>
  </si>
  <si>
    <t>DSR</t>
  </si>
  <si>
    <t>Total</t>
  </si>
  <si>
    <t>Customer 2</t>
  </si>
  <si>
    <t>4 cases Dimension</t>
  </si>
  <si>
    <t>2 cases Fore</t>
  </si>
  <si>
    <t>2 cases MatchPoint</t>
  </si>
  <si>
    <t>Customer 3</t>
  </si>
  <si>
    <t>2 cases Dimension</t>
  </si>
  <si>
    <t>2 cases Confront</t>
  </si>
  <si>
    <t>2 cases Eagle</t>
  </si>
  <si>
    <t>10 bags Snap TG</t>
  </si>
  <si>
    <t>This order would never happen in old program.</t>
  </si>
  <si>
    <t>Yes, we paid more but also most likely doubled the sale.</t>
  </si>
  <si>
    <t>Customer doesn't get paid and is frustrated with program</t>
  </si>
  <si>
    <t>Customer 4</t>
  </si>
  <si>
    <t>8 gal Gallery SC</t>
  </si>
  <si>
    <t>10 cases Dithane</t>
  </si>
  <si>
    <t>3 pallets Snap TG</t>
  </si>
  <si>
    <t>Customer 5</t>
  </si>
  <si>
    <t>3 cases Dimension</t>
  </si>
  <si>
    <t>2 cases Dime+Defendor</t>
  </si>
  <si>
    <t>5 cases Kerb</t>
  </si>
  <si>
    <t>(889 + 250 competitive for Kerb vs. Specticle)</t>
  </si>
  <si>
    <t>Customer 6</t>
  </si>
  <si>
    <t>1 gal Defendor</t>
  </si>
  <si>
    <t>7.5 gal Kerb</t>
  </si>
  <si>
    <t>(378 + 100 competive in product for Kerb vs. Specticle)</t>
  </si>
  <si>
    <t>Participating Products</t>
  </si>
  <si>
    <t xml:space="preserve">OCT-DEC Incentive </t>
  </si>
  <si>
    <t>TOTAL Including OCT-DEC Incentive</t>
  </si>
  <si>
    <t>Quart</t>
  </si>
  <si>
    <t>50 lb Bag</t>
  </si>
  <si>
    <t>Pound</t>
  </si>
  <si>
    <t>30 lb Bag</t>
  </si>
  <si>
    <t>40 lb Bag</t>
  </si>
  <si>
    <t>25 lb Bag</t>
  </si>
  <si>
    <t>GOLF</t>
  </si>
  <si>
    <t xml:space="preserve">50 lb Bag </t>
  </si>
  <si>
    <t>STANDARD</t>
  </si>
  <si>
    <t>NURSERY</t>
  </si>
  <si>
    <t>Insecticides</t>
  </si>
  <si>
    <t>Post Emergent Herbicides</t>
  </si>
  <si>
    <t>NativeKlean</t>
  </si>
  <si>
    <t>Pre Emergent Herbicides</t>
  </si>
  <si>
    <t>Package Size</t>
  </si>
  <si>
    <t>12 lb bag</t>
  </si>
  <si>
    <t>4 bags per case</t>
  </si>
  <si>
    <t>4 btl/case or 8 pts/case</t>
  </si>
  <si>
    <t>1 gal btl or 1 pt bottle</t>
  </si>
  <si>
    <t>1 case for 1 gal btl or 4 cases for pints (4 gal)</t>
  </si>
  <si>
    <t>Case/ lb</t>
  </si>
  <si>
    <t>1.5 lb WSP</t>
  </si>
  <si>
    <t xml:space="preserve">4 WSP/bag, 8 bags/cs </t>
  </si>
  <si>
    <t>1 lb</t>
  </si>
  <si>
    <t>8 btl/ case</t>
  </si>
  <si>
    <t>1 gallon</t>
  </si>
  <si>
    <t>4 oz/WSP</t>
  </si>
  <si>
    <t xml:space="preserve">7 WSP/bag, 8 bags/cs </t>
  </si>
  <si>
    <t>1 qt</t>
  </si>
  <si>
    <t>4 qt/cs</t>
  </si>
  <si>
    <t>64 oz btl</t>
  </si>
  <si>
    <t>4 btl/ cs</t>
  </si>
  <si>
    <t>1 gal btl</t>
  </si>
  <si>
    <t>4 qt/ cs</t>
  </si>
  <si>
    <t>2.5 gal btl</t>
  </si>
  <si>
    <t>2 btl/ cs</t>
  </si>
  <si>
    <t>50 lb bag</t>
  </si>
  <si>
    <t>1 qt btl</t>
  </si>
  <si>
    <t>25 lb bag</t>
  </si>
  <si>
    <t>5 oz/WSP</t>
  </si>
  <si>
    <t xml:space="preserve">8 WSP/bag, 8 bags/cs </t>
  </si>
  <si>
    <t>2 btl /cs</t>
  </si>
  <si>
    <t>4/cs</t>
  </si>
  <si>
    <t>0.5 gl</t>
  </si>
  <si>
    <t>2.5 gl</t>
  </si>
  <si>
    <t>2/cs</t>
  </si>
  <si>
    <t>Dimension 2EW (30 gal drum)</t>
  </si>
  <si>
    <t>Dimension 2EW (2.5 gal bottle)</t>
  </si>
  <si>
    <t>Dimension 2EW (0.5 gal bottle)</t>
  </si>
  <si>
    <t>30 gl</t>
  </si>
  <si>
    <t>1 drum</t>
  </si>
  <si>
    <t>1 VPK</t>
  </si>
  <si>
    <t>2 gal btl; 1 gl btl Def</t>
  </si>
  <si>
    <t>2/cs; 1/cs Def</t>
  </si>
  <si>
    <t>1 qt; 2 gal btl</t>
  </si>
  <si>
    <t>12 qt/cs; 2 btl/ cs</t>
  </si>
  <si>
    <t>2 gallons</t>
  </si>
  <si>
    <t>1 lb btl</t>
  </si>
  <si>
    <t>4 btl/ crtn; 6 crtn/cs</t>
  </si>
  <si>
    <t>1 case (20 lbs)</t>
  </si>
  <si>
    <t>1 case (4 gal)</t>
  </si>
  <si>
    <t>1 case ( 5 gal)</t>
  </si>
  <si>
    <t>10 bags (500 lbs)</t>
  </si>
  <si>
    <t>2 cases (4 gal)</t>
  </si>
  <si>
    <t>1 case (5 gal)</t>
  </si>
  <si>
    <t>1 drum (30 gal)</t>
  </si>
  <si>
    <t>1 case (24 lbs)</t>
  </si>
  <si>
    <t>20 bags (500 lbs)</t>
  </si>
  <si>
    <t># of Different Products Purchased (Products on granule/fertilizer do not count towards the rebate multipler)</t>
  </si>
  <si>
    <t>2 cases (96 lbs)</t>
  </si>
  <si>
    <t>1 case (14 lbs)</t>
  </si>
  <si>
    <t>1 case (16 lbs)</t>
  </si>
  <si>
    <t>1 case (8 lbs)</t>
  </si>
  <si>
    <t xml:space="preserve">  </t>
  </si>
  <si>
    <t xml:space="preserve">1 product  </t>
  </si>
  <si>
    <t xml:space="preserve">  6+ products</t>
  </si>
  <si>
    <t>Pack size</t>
  </si>
  <si>
    <t>Pallet</t>
  </si>
  <si>
    <t>36 cases</t>
  </si>
  <si>
    <t>5 gal/ cs</t>
  </si>
  <si>
    <t>5 drums</t>
  </si>
  <si>
    <t>40 bags</t>
  </si>
  <si>
    <t>84 bags</t>
  </si>
  <si>
    <t>48 lbs / cs</t>
  </si>
  <si>
    <t>Rebate $/pallet</t>
  </si>
  <si>
    <t>864 lbs</t>
  </si>
  <si>
    <t>Special EOP Pallet Rebates (this is NOT in addition to the rebates on the left)</t>
  </si>
  <si>
    <t>Crew*</t>
  </si>
  <si>
    <t>XXpire WG*</t>
  </si>
  <si>
    <t>GameOn*</t>
  </si>
  <si>
    <t>* - Pending registration</t>
  </si>
  <si>
    <t>EOP  Rebate per Min.</t>
  </si>
  <si>
    <t>Jan-Sept Rebate per Min.</t>
  </si>
  <si>
    <t>1 case (1 gal)</t>
  </si>
  <si>
    <t>12 qt/cs</t>
  </si>
  <si>
    <t>quart/Gallon</t>
  </si>
  <si>
    <t>Minimum Quantity (pallet)</t>
  </si>
  <si>
    <t>10 lb bag</t>
  </si>
  <si>
    <t>50 bags (500 lbs)</t>
  </si>
  <si>
    <t>Crew (50 lb bag)*</t>
  </si>
  <si>
    <t>Crew (10 lb bag)*</t>
  </si>
  <si>
    <t>Dimension® 0.06-0.09% on Fertilizer/Granules</t>
  </si>
  <si>
    <t>Dimension 0.10-0.13% on Fertilizer/Granules</t>
  </si>
  <si>
    <t>Dimension 0.15-0.19% on Fertilizer/Granules</t>
  </si>
  <si>
    <t>Dimension 0.21-0.27% on Fertilizer/Granules</t>
  </si>
  <si>
    <t>LockUp® Herbicide 0.01-0.014% on Fertilizer/Granules</t>
  </si>
  <si>
    <t>LockUp Herbicide 0.03-0.04% on Fertilizer/Granules</t>
  </si>
  <si>
    <t>Base Rebate x 1.03</t>
  </si>
  <si>
    <t>Base Rebate x 1.06</t>
  </si>
  <si>
    <t>Base Rebate x 1.09</t>
  </si>
  <si>
    <t>Base Rebate x 1.12</t>
  </si>
  <si>
    <t>Base Rebate x 1.15</t>
  </si>
  <si>
    <t>Base Rebate</t>
  </si>
  <si>
    <t>4 bags</t>
  </si>
  <si>
    <t>EOP  Rebate per Min</t>
  </si>
  <si>
    <t>Jan-Sept Rebate per Min</t>
  </si>
  <si>
    <t>4 WSP/bag with
8 bags/case</t>
  </si>
  <si>
    <t>4 qts</t>
  </si>
  <si>
    <t>1 case</t>
  </si>
  <si>
    <t>4 oz WSP</t>
  </si>
  <si>
    <t>7 WSP/bag with 
8 bags/case</t>
  </si>
  <si>
    <t>4 btl/case</t>
  </si>
  <si>
    <t>4 qt/case</t>
  </si>
  <si>
    <t>2 btl/case</t>
  </si>
  <si>
    <t>12 qt/case</t>
  </si>
  <si>
    <t>4 gal btl or 
8 pt btl</t>
  </si>
  <si>
    <t>1 case of 1 gal btl or
4 cases of 1 pt btl</t>
  </si>
  <si>
    <t>1 gal or
1 pt</t>
  </si>
  <si>
    <t>2.5 gal</t>
  </si>
  <si>
    <t>NativeKlean®</t>
  </si>
  <si>
    <t>50 lb or
10 lb bag</t>
  </si>
  <si>
    <t>10 bags of 50 lbs or
20 bags of 10 lbs</t>
  </si>
  <si>
    <t>5 oz WSP</t>
  </si>
  <si>
    <t>8 WSP/bag with
8 bags/case</t>
  </si>
  <si>
    <t>0.5 gal</t>
  </si>
  <si>
    <t>Crew *</t>
  </si>
  <si>
    <t>2 gal btl (Dim) + 
1 gal btl (Def)</t>
  </si>
  <si>
    <t>2 gal btl (Dim) + 
1 gal btl (Def)/case</t>
  </si>
  <si>
    <t>4 btl/carton with
6 cartons/case</t>
  </si>
  <si>
    <t>1 qt or
2 gal</t>
  </si>
  <si>
    <t>12 qt or
2 gal</t>
  </si>
  <si>
    <t>96 lb</t>
  </si>
  <si>
    <t>14 lb</t>
  </si>
  <si>
    <t>16 lb</t>
  </si>
  <si>
    <t>8 lb</t>
  </si>
  <si>
    <t>500 lb</t>
  </si>
  <si>
    <t>20 lb</t>
  </si>
  <si>
    <t>24 lb</t>
  </si>
  <si>
    <t>50 lb</t>
  </si>
  <si>
    <t>30 lb</t>
  </si>
  <si>
    <t>40 lb</t>
  </si>
  <si>
    <t>25 lb</t>
  </si>
  <si>
    <t>Special EOP Pallet Rebates
(NOT additive of other offer)</t>
  </si>
  <si>
    <t>5 gal/case</t>
  </si>
  <si>
    <t>48 lbs/case</t>
  </si>
  <si>
    <t>2000 lb</t>
  </si>
  <si>
    <t>2100 lb</t>
  </si>
  <si>
    <t>864 lb</t>
  </si>
  <si>
    <t>6 + products</t>
  </si>
  <si>
    <t>BONUS MULTIPLIER</t>
  </si>
  <si>
    <r>
      <t xml:space="preserve"># of </t>
    </r>
    <r>
      <rPr>
        <b/>
        <u/>
        <sz val="11"/>
        <color theme="0"/>
        <rFont val="Calibri"/>
        <family val="2"/>
        <scheme val="minor"/>
      </rPr>
      <t>Different</t>
    </r>
    <r>
      <rPr>
        <b/>
        <sz val="11"/>
        <color theme="0"/>
        <rFont val="Calibri"/>
        <family val="2"/>
        <scheme val="minor"/>
      </rPr>
      <t xml:space="preserve"> Products Purchased
</t>
    </r>
    <r>
      <rPr>
        <b/>
        <sz val="9"/>
        <color theme="0"/>
        <rFont val="Calibri"/>
        <family val="2"/>
        <scheme val="minor"/>
      </rPr>
      <t>(Products on granule/fertilizer do not count towards rebate multipler)</t>
    </r>
  </si>
  <si>
    <t>Enter Quantity</t>
  </si>
  <si>
    <t>Select Unit of Measure</t>
  </si>
  <si>
    <t>Minimum Quantity Met?</t>
  </si>
  <si>
    <t>Rebate Amount</t>
  </si>
  <si>
    <t>WSP</t>
  </si>
  <si>
    <t>quart</t>
  </si>
  <si>
    <t>EAGLE</t>
  </si>
  <si>
    <t>DITHANE</t>
  </si>
  <si>
    <t>4 qts/case</t>
  </si>
  <si>
    <t>CONSERVE</t>
  </si>
  <si>
    <t>pound</t>
  </si>
  <si>
    <t>bottle - gallon</t>
  </si>
  <si>
    <t>case - gallon</t>
  </si>
  <si>
    <t>bag</t>
  </si>
  <si>
    <t>pint</t>
  </si>
  <si>
    <t>bottle - pint</t>
  </si>
  <si>
    <t>case - pint</t>
  </si>
  <si>
    <t>MATCHPOINT</t>
  </si>
  <si>
    <t>bottle</t>
  </si>
  <si>
    <t>DEFENDOR, LONTREL</t>
  </si>
  <si>
    <t>FORE, DURSBAN, DIM ULTRA</t>
  </si>
  <si>
    <t>VALUE PACK</t>
  </si>
  <si>
    <t>GALLERY DF</t>
  </si>
  <si>
    <t>carton</t>
  </si>
  <si>
    <t>GALLERY SC</t>
  </si>
  <si>
    <t>bottle - quart</t>
  </si>
  <si>
    <t>CONFRONT, GAMEON, NATIVEKLEAN, TURFLON ESTER, DIM 2EW, KERB</t>
  </si>
  <si>
    <t>SNAPSHOT, and on down list</t>
  </si>
  <si>
    <t>pallet</t>
  </si>
  <si>
    <t>BASE REBATE</t>
  </si>
  <si>
    <t>GRANULE/FERT REBATE</t>
  </si>
  <si>
    <t>PALLET REBATE</t>
  </si>
  <si>
    <t>MATCHING REBATE</t>
  </si>
  <si>
    <t>Defendor rebate @ $80/qt</t>
  </si>
  <si>
    <t>Qualified Quarts from purchases</t>
  </si>
  <si>
    <t>Defendor®</t>
  </si>
  <si>
    <t>Qty Purchased</t>
  </si>
  <si>
    <t>Qualifying Units</t>
  </si>
  <si>
    <t>UOM</t>
  </si>
  <si>
    <t>Maximum qualifying Defendor quarts (per 'x' LBAI of Dimension)</t>
  </si>
  <si>
    <t>Minimum LBs AI per Defendor quart match</t>
  </si>
  <si>
    <t>Total LB AI</t>
  </si>
  <si>
    <t>Dimension® Ultra 40WP</t>
  </si>
  <si>
    <t>Dimension® 2EW</t>
  </si>
  <si>
    <t>Dimension  .17% &amp; LockUp .01%</t>
  </si>
  <si>
    <t>Dimension® .27% Granule</t>
  </si>
  <si>
    <t>Dimension® .25% on Fertilizer/Granules</t>
  </si>
  <si>
    <t>Dimension®  .22 on Fertilizer/Granules</t>
  </si>
  <si>
    <t>Dimension®  .21% on Fertilizer/Granules</t>
  </si>
  <si>
    <t>Dimension®  .19% on Fertilizer/Granules</t>
  </si>
  <si>
    <t>Dimension®  .17% on Fertilizer/Granules</t>
  </si>
  <si>
    <t>Dimension® .164% on Fertilizer/Granules</t>
  </si>
  <si>
    <t>Dimension® .15% on Fertilizer/Granules</t>
  </si>
  <si>
    <t>Dimension®  .13% on Fertilizer/Granules</t>
  </si>
  <si>
    <t>Dimension®  .125% on Fertilizer/Granules</t>
  </si>
  <si>
    <t>Dimension® .103% on Fertilizer/Granules</t>
  </si>
  <si>
    <t>Dimension® .10% on Fertilizer/Granules</t>
  </si>
  <si>
    <t>Dimension®  .09% on Fertilizer/Granules</t>
  </si>
  <si>
    <t>Dimension® .08% on Fertilizer/Granules</t>
  </si>
  <si>
    <t>Dimension® .07% on Fertilizer/Granules</t>
  </si>
  <si>
    <t>Dimension®  .06% on Fertilizer/Granules</t>
  </si>
  <si>
    <t>Cuatro with Dimension plus Quinclorac</t>
  </si>
  <si>
    <t>LB AI Taken</t>
  </si>
  <si>
    <t>LB AI per Bag</t>
  </si>
  <si>
    <t>% LB AI</t>
  </si>
  <si>
    <t>Bag size (LB)</t>
  </si>
  <si>
    <t>EOP - 10/1/19 - 2/15/20</t>
  </si>
  <si>
    <t>2/16/20 - 9/30/20</t>
  </si>
  <si>
    <t>EOP</t>
  </si>
  <si>
    <t>OTHER</t>
  </si>
  <si>
    <t>convert for matching</t>
  </si>
  <si>
    <r>
      <t xml:space="preserve">Pallet offer </t>
    </r>
    <r>
      <rPr>
        <b/>
        <u/>
        <sz val="11"/>
        <color theme="1"/>
        <rFont val="Calibri"/>
        <family val="2"/>
        <scheme val="minor"/>
      </rPr>
      <t>ONLY</t>
    </r>
    <r>
      <rPr>
        <b/>
        <sz val="11"/>
        <color theme="1"/>
        <rFont val="Calibri"/>
        <family val="2"/>
        <scheme val="minor"/>
      </rPr>
      <t xml:space="preserve"> during EOP</t>
    </r>
  </si>
  <si>
    <t>COUNT</t>
  </si>
  <si>
    <t>Confront® specialty herbicide</t>
  </si>
  <si>
    <t>GameOn™ specialty herbicide</t>
  </si>
  <si>
    <t>NativeKlean® herbicide</t>
  </si>
  <si>
    <t>Conserve® SC specialty insecticide</t>
  </si>
  <si>
    <t>Dursban® 50W specialty insecticide</t>
  </si>
  <si>
    <t>Dithane® 75DF specialty fungicide</t>
  </si>
  <si>
    <t>Eagle® 20EW specialty fungicide</t>
  </si>
  <si>
    <t>Fore® WSP fungicide specialty fungicide</t>
  </si>
  <si>
    <t>Gallery 75DF specialty herbicide</t>
  </si>
  <si>
    <t>Snapshot® 2.5TG specialty herbicide</t>
  </si>
  <si>
    <t>Snapshot DG</t>
  </si>
  <si>
    <t>Dimension Ultra 40WP specialty herbicide</t>
  </si>
  <si>
    <t>GameOn</t>
  </si>
  <si>
    <t>Kerb SC</t>
  </si>
  <si>
    <t>Value PAK</t>
  </si>
  <si>
    <t>bottle - ounce</t>
  </si>
  <si>
    <t>Gallery 0.38% on Fertilizer/Granules</t>
  </si>
  <si>
    <t>LockUp 0.03-0.04% on Fertilizer/Granules</t>
  </si>
  <si>
    <t xml:space="preserve">Dimension 0.17% &amp; LockUp® specialty herbicide 0.01%  </t>
  </si>
  <si>
    <t>LockUp 0.01-0.014% on Fertilizer/Granules</t>
  </si>
  <si>
    <t>Dimension 0.06-0.09% on Fertilizer/Granules</t>
  </si>
  <si>
    <t>Control Products on Fertilizer/Granules*</t>
  </si>
  <si>
    <t>count for % rebate - group like products</t>
  </si>
  <si>
    <r>
      <t>BONUS REBATE</t>
    </r>
    <r>
      <rPr>
        <sz val="8"/>
        <color theme="1"/>
        <rFont val="Calibri"/>
        <family val="2"/>
        <scheme val="minor"/>
      </rPr>
      <t xml:space="preserve"> </t>
    </r>
  </si>
  <si>
    <r>
      <t xml:space="preserve"># of </t>
    </r>
    <r>
      <rPr>
        <b/>
        <u/>
        <sz val="11"/>
        <color rgb="FFFF0000"/>
        <rFont val="Calibri"/>
        <family val="2"/>
        <scheme val="minor"/>
      </rPr>
      <t>Different</t>
    </r>
    <r>
      <rPr>
        <b/>
        <sz val="11"/>
        <color theme="0"/>
        <rFont val="Calibri"/>
        <family val="2"/>
        <scheme val="minor"/>
      </rPr>
      <t xml:space="preserve"> Products Purchased
</t>
    </r>
    <r>
      <rPr>
        <b/>
        <sz val="9"/>
        <color theme="0"/>
        <rFont val="Calibri"/>
        <family val="2"/>
        <scheme val="minor"/>
      </rPr>
      <t>* (Products on granule/fertilizer with min. 1-ton or more)</t>
    </r>
  </si>
  <si>
    <t>2 cartons</t>
  </si>
  <si>
    <t>8 lbs</t>
  </si>
  <si>
    <t>TOTAL REBATE EARNED
($250 minimum to get a check)</t>
  </si>
  <si>
    <t>Gallery SC (1 qt bottle)</t>
  </si>
  <si>
    <t>12 qt</t>
  </si>
  <si>
    <t>8 quarts</t>
  </si>
  <si>
    <t>Gallery SC (2 gal bottle)</t>
  </si>
  <si>
    <t>2 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</si>
</sst>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%"/>
    <numFmt numFmtId="166" formatCode="&quot;$&quot;#,##0"/>
    <numFmt numFmtId="167" formatCode="&quot;$&quot;#,##0.0"/>
    <numFmt numFmtId="168" formatCode="_(* #,##0_);_(* \(#,##0\);_(* &quot;-&quot;??_);_(@_)"/>
    <numFmt numFmtId="169" formatCode="_(* #,##0.0000_);_(* \(#,##0.0000\);_(* &quot;-&quot;??_);_(@_)"/>
    <numFmt numFmtId="170" formatCode="_(* #,##0.00000_);_(* \(#,##0.00000\);_(* &quot;-&quot;??_);_(@_)"/>
    <numFmt numFmtId="171" formatCode="0.0000"/>
    <numFmt numFmtId="172" formatCode="0.00000"/>
    <numFmt numFmtId="173" formatCode="0.000%"/>
  </numFmts>
  <fonts count="5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 Narrow"/>
      <family val="2"/>
    </font>
    <font>
      <b/>
      <sz val="10"/>
      <color rgb="FF3042EC"/>
      <name val="Arial Narrow"/>
      <family val="2"/>
    </font>
    <font>
      <b/>
      <sz val="10"/>
      <color theme="0"/>
      <name val="Arial Narrow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1"/>
      <color rgb="FF000000"/>
      <name val="Arial Narrow"/>
      <family val="2"/>
    </font>
    <font>
      <b/>
      <vertAlign val="superscript"/>
      <sz val="11"/>
      <color rgb="FF000000"/>
      <name val="Arial Narrow"/>
      <family val="2"/>
    </font>
    <font>
      <b/>
      <vertAlign val="superscript"/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rgb="FF7030A0"/>
      <name val="Impact"/>
      <family val="2"/>
    </font>
    <font>
      <b/>
      <sz val="12"/>
      <color rgb="FF000000"/>
      <name val="Arial Narrow"/>
      <family val="2"/>
    </font>
    <font>
      <b/>
      <vertAlign val="superscript"/>
      <sz val="12"/>
      <color rgb="FF000000"/>
      <name val="Arial Narrow"/>
      <family val="2"/>
    </font>
    <font>
      <sz val="12"/>
      <color theme="1"/>
      <name val="Calibri"/>
      <family val="2"/>
    </font>
    <font>
      <sz val="12"/>
      <color rgb="FF7030A0"/>
      <name val="Edwardian Script ITC"/>
      <family val="4"/>
    </font>
    <font>
      <b/>
      <strike/>
      <vertAlign val="superscript"/>
      <sz val="12"/>
      <color rgb="FF000000"/>
      <name val="Arial Narrow"/>
      <family val="2"/>
    </font>
    <font>
      <b/>
      <vertAlign val="superscript"/>
      <sz val="12"/>
      <color rgb="FF000000"/>
      <name val="Arial"/>
      <family val="2"/>
    </font>
    <font>
      <b/>
      <sz val="11"/>
      <color theme="0"/>
      <name val="Arial Narrow"/>
      <family val="2"/>
    </font>
    <font>
      <b/>
      <sz val="14"/>
      <color rgb="FF000000"/>
      <name val="Arial Narrow"/>
      <family val="2"/>
    </font>
    <font>
      <b/>
      <sz val="11"/>
      <color rgb="FFFF0000"/>
      <name val="Arial Narrow"/>
      <family val="2"/>
    </font>
    <font>
      <b/>
      <sz val="14"/>
      <color theme="0"/>
      <name val="Arial Black"/>
      <family val="2"/>
    </font>
    <font>
      <sz val="12"/>
      <color rgb="FF000000"/>
      <name val="Arial Narrow"/>
      <family val="2"/>
    </font>
    <font>
      <b/>
      <sz val="16"/>
      <color theme="1"/>
      <name val="Calibri"/>
      <family val="2"/>
      <scheme val="minor"/>
    </font>
    <font>
      <sz val="16"/>
      <color rgb="FF00B050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rgb="FF000000"/>
      <name val="Arial Narrow"/>
      <family val="2"/>
    </font>
    <font>
      <sz val="10"/>
      <color theme="1"/>
      <name val="Calibri"/>
      <family val="2"/>
    </font>
    <font>
      <sz val="10"/>
      <color theme="0"/>
      <name val="Arial Black"/>
      <family val="2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rgb="FFFF0000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1D5F7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</fills>
  <borders count="1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rgb="FF3042EC"/>
      </right>
      <top style="dotted">
        <color rgb="FF3042EC"/>
      </top>
      <bottom style="dotted">
        <color rgb="FF3042EC"/>
      </bottom>
      <diagonal/>
    </border>
    <border>
      <left style="dotted">
        <color rgb="FF3042EC"/>
      </left>
      <right style="dotted">
        <color rgb="FF3042EC"/>
      </right>
      <top style="dotted">
        <color rgb="FF3042EC"/>
      </top>
      <bottom style="dotted">
        <color rgb="FF3042EC"/>
      </bottom>
      <diagonal/>
    </border>
    <border>
      <left style="medium">
        <color indexed="64"/>
      </left>
      <right style="medium">
        <color indexed="64"/>
      </right>
      <top style="dotted">
        <color rgb="FF3042EC"/>
      </top>
      <bottom style="dotted">
        <color rgb="FF3042EC"/>
      </bottom>
      <diagonal/>
    </border>
    <border>
      <left/>
      <right style="medium">
        <color indexed="64"/>
      </right>
      <top style="dotted">
        <color rgb="FF3042EC"/>
      </top>
      <bottom style="dotted">
        <color rgb="FF3042EC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rgb="FF3042EC"/>
      </right>
      <top style="dotted">
        <color rgb="FF3042EC"/>
      </top>
      <bottom style="medium">
        <color indexed="64"/>
      </bottom>
      <diagonal/>
    </border>
    <border>
      <left style="medium">
        <color indexed="64"/>
      </left>
      <right style="dotted">
        <color rgb="FF3042EC"/>
      </right>
      <top/>
      <bottom style="dotted">
        <color rgb="FF3042EC"/>
      </bottom>
      <diagonal/>
    </border>
    <border>
      <left/>
      <right style="dotted">
        <color rgb="FF3042EC"/>
      </right>
      <top style="medium">
        <color indexed="64"/>
      </top>
      <bottom style="dotted">
        <color rgb="FF3042EC"/>
      </bottom>
      <diagonal/>
    </border>
    <border>
      <left style="medium">
        <color indexed="64"/>
      </left>
      <right style="dotted">
        <color rgb="FF3042EC"/>
      </right>
      <top style="dotted">
        <color rgb="FF3042EC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rgb="FF3042EC"/>
      </bottom>
      <diagonal/>
    </border>
    <border>
      <left style="medium">
        <color indexed="64"/>
      </left>
      <right style="dotted">
        <color indexed="64"/>
      </right>
      <top style="dotted">
        <color rgb="FF3042EC"/>
      </top>
      <bottom style="dotted">
        <color rgb="FF3042EC"/>
      </bottom>
      <diagonal/>
    </border>
    <border>
      <left style="dotted">
        <color indexed="64"/>
      </left>
      <right style="dotted">
        <color indexed="64"/>
      </right>
      <top style="dotted">
        <color rgb="FF3042EC"/>
      </top>
      <bottom style="dotted">
        <color rgb="FF3042EC"/>
      </bottom>
      <diagonal/>
    </border>
    <border>
      <left style="medium">
        <color indexed="64"/>
      </left>
      <right style="dotted">
        <color rgb="FF3042EC"/>
      </right>
      <top style="dotted">
        <color rgb="FF3042EC"/>
      </top>
      <bottom/>
      <diagonal/>
    </border>
    <border>
      <left style="dotted">
        <color rgb="FF3042EC"/>
      </left>
      <right style="dotted">
        <color indexed="64"/>
      </right>
      <top style="dotted">
        <color rgb="FF3042EC"/>
      </top>
      <bottom style="medium">
        <color indexed="64"/>
      </bottom>
      <diagonal/>
    </border>
    <border>
      <left style="dotted">
        <color rgb="FF3042EC"/>
      </left>
      <right style="dotted">
        <color rgb="FF3042EC"/>
      </right>
      <top style="dotted">
        <color rgb="FF3042EC"/>
      </top>
      <bottom style="medium">
        <color indexed="64"/>
      </bottom>
      <diagonal/>
    </border>
    <border>
      <left style="dotted">
        <color rgb="FF3042EC"/>
      </left>
      <right style="medium">
        <color indexed="64"/>
      </right>
      <top style="dotted">
        <color rgb="FF3042EC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rgb="FF3042EC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rgb="FF3042EC"/>
      </right>
      <top style="medium">
        <color indexed="64"/>
      </top>
      <bottom style="dotted">
        <color rgb="FF3042EC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rgb="FF3042EC"/>
      </right>
      <top/>
      <bottom style="dotted">
        <color rgb="FF3042EC"/>
      </bottom>
      <diagonal/>
    </border>
    <border>
      <left/>
      <right style="dotted">
        <color rgb="FF3042EC"/>
      </right>
      <top style="dotted">
        <color rgb="FF3042EC"/>
      </top>
      <bottom style="dotted">
        <color rgb="FF3042EC"/>
      </bottom>
      <diagonal/>
    </border>
    <border>
      <left/>
      <right style="dotted">
        <color rgb="FF3042EC"/>
      </right>
      <top style="dotted">
        <color rgb="FF3042EC"/>
      </top>
      <bottom/>
      <diagonal/>
    </border>
    <border>
      <left/>
      <right style="dotted">
        <color indexed="64"/>
      </right>
      <top style="dotted">
        <color rgb="FF3042EC"/>
      </top>
      <bottom style="dotted">
        <color rgb="FF3042EC"/>
      </bottom>
      <diagonal/>
    </border>
    <border>
      <left/>
      <right/>
      <top style="medium">
        <color indexed="64"/>
      </top>
      <bottom/>
      <diagonal/>
    </border>
    <border>
      <left/>
      <right/>
      <top style="dotted">
        <color rgb="FF3042EC"/>
      </top>
      <bottom style="medium">
        <color indexed="64"/>
      </bottom>
      <diagonal/>
    </border>
    <border>
      <left/>
      <right style="dotted">
        <color rgb="FF3042EC"/>
      </right>
      <top style="dotted">
        <color rgb="FF3042EC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rgb="FF3042EC"/>
      </left>
      <right style="dotted">
        <color rgb="FF3042EC"/>
      </right>
      <top style="dotted">
        <color indexed="64"/>
      </top>
      <bottom style="dotted">
        <color rgb="FF3042EC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rgb="FF3042EC"/>
      </left>
      <right style="dotted">
        <color rgb="FF3042EC"/>
      </right>
      <top style="dotted">
        <color rgb="FF3042EC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rgb="FF3042EC"/>
      </bottom>
      <diagonal/>
    </border>
    <border>
      <left style="dotted">
        <color indexed="64"/>
      </left>
      <right/>
      <top style="dotted">
        <color rgb="FF3042EC"/>
      </top>
      <bottom style="dotted">
        <color rgb="FF3042EC"/>
      </bottom>
      <diagonal/>
    </border>
    <border>
      <left style="dotted">
        <color indexed="64"/>
      </left>
      <right style="dotted">
        <color rgb="FF3042EC"/>
      </right>
      <top style="dotted">
        <color rgb="FF3042EC"/>
      </top>
      <bottom style="dotted">
        <color rgb="FF3042EC"/>
      </bottom>
      <diagonal/>
    </border>
    <border>
      <left/>
      <right/>
      <top style="dotted">
        <color rgb="FF3042EC"/>
      </top>
      <bottom style="dotted">
        <color rgb="FF3042EC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rgb="FF3042EC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otted">
        <color rgb="FF3042EC"/>
      </left>
      <right/>
      <top style="dotted">
        <color rgb="FF3042EC"/>
      </top>
      <bottom style="dotted">
        <color rgb="FF3042EC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2" tint="-9.9978637043366805E-2"/>
      </right>
      <top/>
      <bottom/>
      <diagonal/>
    </border>
    <border>
      <left/>
      <right style="thin">
        <color theme="2" tint="-9.9978637043366805E-2"/>
      </right>
      <top style="thin">
        <color theme="0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/>
      <diagonal/>
    </border>
    <border>
      <left/>
      <right/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medium">
        <color theme="2" tint="-9.9978637043366805E-2"/>
      </left>
      <right/>
      <top style="medium">
        <color theme="2" tint="-9.9978637043366805E-2"/>
      </top>
      <bottom/>
      <diagonal/>
    </border>
    <border>
      <left style="thin">
        <color theme="0"/>
      </left>
      <right style="thin">
        <color theme="0"/>
      </right>
      <top style="medium">
        <color theme="2" tint="-9.9978637043366805E-2"/>
      </top>
      <bottom style="thin">
        <color theme="0"/>
      </bottom>
      <diagonal/>
    </border>
    <border>
      <left style="thin">
        <color theme="0"/>
      </left>
      <right/>
      <top style="medium">
        <color theme="2" tint="-9.9978637043366805E-2"/>
      </top>
      <bottom style="thin">
        <color theme="0"/>
      </bottom>
      <diagonal/>
    </border>
    <border>
      <left/>
      <right style="thin">
        <color theme="0"/>
      </right>
      <top style="medium">
        <color theme="2" tint="-9.9978637043366805E-2"/>
      </top>
      <bottom style="thin">
        <color theme="0"/>
      </bottom>
      <diagonal/>
    </border>
    <border>
      <left style="thin">
        <color theme="0"/>
      </left>
      <right/>
      <top style="medium">
        <color theme="2" tint="-9.9978637043366805E-2"/>
      </top>
      <bottom/>
      <diagonal/>
    </border>
    <border>
      <left style="thin">
        <color theme="0"/>
      </left>
      <right style="medium">
        <color theme="2" tint="-9.9978637043366805E-2"/>
      </right>
      <top style="medium">
        <color theme="2" tint="-9.9978637043366805E-2"/>
      </top>
      <bottom/>
      <diagonal/>
    </border>
    <border>
      <left style="medium">
        <color theme="2" tint="-9.9978637043366805E-2"/>
      </left>
      <right/>
      <top style="thin">
        <color theme="0"/>
      </top>
      <bottom/>
      <diagonal/>
    </border>
    <border>
      <left/>
      <right style="medium">
        <color theme="2" tint="-9.9978637043366805E-2"/>
      </right>
      <top style="thin">
        <color theme="0"/>
      </top>
      <bottom/>
      <diagonal/>
    </border>
    <border>
      <left style="medium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 style="medium">
        <color theme="2" tint="-9.9978637043366805E-2"/>
      </right>
      <top/>
      <bottom style="thin">
        <color theme="2" tint="-9.9978637043366805E-2"/>
      </bottom>
      <diagonal/>
    </border>
    <border>
      <left style="medium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medium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medium">
        <color theme="2" tint="-9.9978637043366805E-2"/>
      </left>
      <right style="thin">
        <color theme="2" tint="-9.9978637043366805E-2"/>
      </right>
      <top/>
      <bottom/>
      <diagonal/>
    </border>
    <border>
      <left/>
      <right style="medium">
        <color theme="2" tint="-9.9978637043366805E-2"/>
      </right>
      <top/>
      <bottom/>
      <diagonal/>
    </border>
    <border>
      <left style="medium">
        <color theme="2" tint="-9.9978637043366805E-2"/>
      </left>
      <right/>
      <top/>
      <bottom/>
      <diagonal/>
    </border>
    <border>
      <left style="medium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medium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medium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medium">
        <color theme="2" tint="-9.9978637043366805E-2"/>
      </bottom>
      <diagonal/>
    </border>
    <border>
      <left/>
      <right/>
      <top style="thin">
        <color theme="2" tint="-9.9978637043366805E-2"/>
      </top>
      <bottom style="medium">
        <color theme="2" tint="-9.9978637043366805E-2"/>
      </bottom>
      <diagonal/>
    </border>
    <border>
      <left/>
      <right style="medium">
        <color theme="2" tint="-9.9978637043366805E-2"/>
      </right>
      <top style="thin">
        <color theme="2" tint="-9.9978637043366805E-2"/>
      </top>
      <bottom style="medium">
        <color theme="2" tint="-9.9978637043366805E-2"/>
      </bottom>
      <diagonal/>
    </border>
    <border>
      <left style="medium">
        <color theme="2" tint="-9.9978637043366805E-2"/>
      </left>
      <right/>
      <top style="medium">
        <color theme="2" tint="-9.9978637043366805E-2"/>
      </top>
      <bottom style="medium">
        <color theme="2" tint="-9.9978637043366805E-2"/>
      </bottom>
      <diagonal/>
    </border>
    <border>
      <left style="thin">
        <color theme="0"/>
      </left>
      <right style="thin">
        <color theme="0"/>
      </right>
      <top style="medium">
        <color theme="2" tint="-9.9978637043366805E-2"/>
      </top>
      <bottom style="medium">
        <color theme="2" tint="-9.9978637043366805E-2"/>
      </bottom>
      <diagonal/>
    </border>
    <border>
      <left style="thin">
        <color theme="0"/>
      </left>
      <right style="medium">
        <color theme="2" tint="-9.9978637043366805E-2"/>
      </right>
      <top style="medium">
        <color theme="2" tint="-9.9978637043366805E-2"/>
      </top>
      <bottom style="medium">
        <color theme="2" tint="-9.9978637043366805E-2"/>
      </bottom>
      <diagonal/>
    </border>
    <border>
      <left/>
      <right style="medium">
        <color theme="2" tint="-9.9978637043366805E-2"/>
      </right>
      <top style="medium">
        <color theme="2" tint="-9.9978637043366805E-2"/>
      </top>
      <bottom style="medium">
        <color theme="2" tint="-9.9978637043366805E-2"/>
      </bottom>
      <diagonal/>
    </border>
    <border>
      <left style="medium">
        <color indexed="64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medium">
        <color indexed="64"/>
      </right>
      <top style="thin">
        <color theme="2" tint="-9.9978637043366805E-2"/>
      </top>
      <bottom style="thin">
        <color theme="2" tint="-9.9978637043366805E-2"/>
      </bottom>
      <diagonal/>
    </border>
    <border>
      <left style="medium">
        <color indexed="64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 style="medium">
        <color indexed="64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theme="2" tint="-9.9978637043366805E-2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2" tint="-9.9978637043366805E-2"/>
      </bottom>
      <diagonal/>
    </border>
    <border>
      <left style="medium">
        <color indexed="64"/>
      </left>
      <right style="thin">
        <color theme="2" tint="-9.9978637043366805E-2"/>
      </right>
      <top style="medium">
        <color indexed="64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medium">
        <color indexed="64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medium">
        <color indexed="64"/>
      </top>
      <bottom style="thin">
        <color theme="2" tint="-9.9978637043366805E-2"/>
      </bottom>
      <diagonal/>
    </border>
    <border>
      <left/>
      <right style="medium">
        <color indexed="64"/>
      </right>
      <top style="medium">
        <color indexed="64"/>
      </top>
      <bottom style="thin">
        <color theme="2" tint="-9.9978637043366805E-2"/>
      </bottom>
      <diagonal/>
    </border>
    <border>
      <left/>
      <right style="medium">
        <color indexed="64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0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2" tint="-9.9978637043366805E-2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thin">
        <color theme="2" tint="-9.9978637043366805E-2"/>
      </right>
      <top/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ck">
        <color rgb="FFFFFF00"/>
      </diagonal>
    </border>
    <border diagonalUp="1" diagonalDown="1">
      <left/>
      <right style="medium">
        <color indexed="64"/>
      </right>
      <top style="medium">
        <color indexed="64"/>
      </top>
      <bottom/>
      <diagonal style="thick">
        <color rgb="FFFFFF00"/>
      </diagonal>
    </border>
    <border diagonalUp="1" diagonalDown="1">
      <left style="medium">
        <color indexed="64"/>
      </left>
      <right/>
      <top/>
      <bottom/>
      <diagonal style="thick">
        <color rgb="FFFFFF00"/>
      </diagonal>
    </border>
    <border diagonalUp="1" diagonalDown="1">
      <left/>
      <right style="medium">
        <color indexed="64"/>
      </right>
      <top/>
      <bottom/>
      <diagonal style="thick">
        <color rgb="FFFFFF00"/>
      </diagonal>
    </border>
    <border diagonalUp="1" diagonalDown="1">
      <left style="medium">
        <color indexed="64"/>
      </left>
      <right/>
      <top/>
      <bottom style="medium">
        <color indexed="64"/>
      </bottom>
      <diagonal style="thick">
        <color rgb="FFFFFF00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ck">
        <color rgb="FFFFFF00"/>
      </diagonal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2" tint="-9.9978637043366805E-2"/>
      </right>
      <top/>
      <bottom style="medium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medium">
        <color indexed="64"/>
      </bottom>
      <diagonal/>
    </border>
  </borders>
  <cellStyleXfs count="8">
    <xf numFmtId="0" fontId="0" fillId="0" borderId="0"/>
    <xf numFmtId="0" fontId="34" fillId="29" borderId="0" applyNumberFormat="0" applyBorder="0" applyAlignment="0" applyProtection="0"/>
    <xf numFmtId="0" fontId="35" fillId="30" borderId="0" applyNumberFormat="0" applyBorder="0" applyAlignment="0" applyProtection="0"/>
    <xf numFmtId="0" fontId="37" fillId="31" borderId="0" applyNumberFormat="0" applyBorder="0" applyAlignment="0" applyProtection="0"/>
    <xf numFmtId="0" fontId="37" fillId="32" borderId="0" applyNumberFormat="0" applyBorder="0" applyAlignment="0" applyProtection="0"/>
    <xf numFmtId="4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39" fillId="0" borderId="0" applyFont="0" applyFill="0" applyBorder="0" applyAlignment="0" applyProtection="0"/>
  </cellStyleXfs>
  <cellXfs count="585">
    <xf numFmtId="0" fontId="0" fillId="0" borderId="0" xfId="0"/>
    <xf numFmtId="164" fontId="0" fillId="0" borderId="0" xfId="0" applyNumberFormat="1"/>
    <xf numFmtId="0" fontId="3" fillId="9" borderId="1" xfId="0" applyFont="1" applyFill="1" applyBorder="1" applyAlignment="1" applyProtection="1">
      <alignment horizontal="center" vertical="center" wrapText="1" readingOrder="1"/>
      <protection locked="0"/>
    </xf>
    <xf numFmtId="0" fontId="5" fillId="6" borderId="2" xfId="0" applyFont="1" applyFill="1" applyBorder="1" applyAlignment="1">
      <alignment horizontal="left" vertical="center" readingOrder="1"/>
    </xf>
    <xf numFmtId="0" fontId="6" fillId="6" borderId="8" xfId="0" applyFont="1" applyFill="1" applyBorder="1" applyAlignment="1">
      <alignment horizontal="center" vertical="center" readingOrder="1"/>
    </xf>
    <xf numFmtId="0" fontId="0" fillId="6" borderId="8" xfId="0" applyFill="1" applyBorder="1" applyAlignment="1">
      <alignment horizontal="center" vertical="center" readingOrder="1"/>
    </xf>
    <xf numFmtId="0" fontId="7" fillId="5" borderId="0" xfId="0" applyFont="1" applyFill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 readingOrder="1"/>
    </xf>
    <xf numFmtId="0" fontId="0" fillId="0" borderId="9" xfId="0" applyBorder="1"/>
    <xf numFmtId="0" fontId="2" fillId="10" borderId="5" xfId="0" applyFont="1" applyFill="1" applyBorder="1" applyAlignment="1">
      <alignment horizontal="center" vertical="center" wrapText="1" readingOrder="1"/>
    </xf>
    <xf numFmtId="0" fontId="7" fillId="10" borderId="0" xfId="0" applyFont="1" applyFill="1" applyAlignment="1">
      <alignment horizontal="center" vertical="center"/>
    </xf>
    <xf numFmtId="0" fontId="7" fillId="10" borderId="16" xfId="0" applyFont="1" applyFill="1" applyBorder="1" applyAlignment="1">
      <alignment horizontal="center" vertical="center"/>
    </xf>
    <xf numFmtId="8" fontId="8" fillId="5" borderId="5" xfId="0" applyNumberFormat="1" applyFont="1" applyFill="1" applyBorder="1" applyAlignment="1">
      <alignment horizontal="center" vertical="center" wrapText="1" readingOrder="1"/>
    </xf>
    <xf numFmtId="8" fontId="8" fillId="5" borderId="7" xfId="0" applyNumberFormat="1" applyFont="1" applyFill="1" applyBorder="1" applyAlignment="1">
      <alignment horizontal="center" vertical="center" wrapText="1" readingOrder="1"/>
    </xf>
    <xf numFmtId="8" fontId="8" fillId="6" borderId="1" xfId="0" applyNumberFormat="1" applyFont="1" applyFill="1" applyBorder="1" applyAlignment="1">
      <alignment horizontal="center" vertical="center" wrapText="1" readingOrder="1"/>
    </xf>
    <xf numFmtId="8" fontId="8" fillId="10" borderId="5" xfId="0" applyNumberFormat="1" applyFont="1" applyFill="1" applyBorder="1" applyAlignment="1">
      <alignment horizontal="center" vertical="center" wrapText="1" readingOrder="1"/>
    </xf>
    <xf numFmtId="8" fontId="8" fillId="10" borderId="0" xfId="0" applyNumberFormat="1" applyFont="1" applyFill="1" applyAlignment="1">
      <alignment horizontal="center" vertical="center" wrapText="1" readingOrder="1"/>
    </xf>
    <xf numFmtId="8" fontId="8" fillId="10" borderId="7" xfId="0" applyNumberFormat="1" applyFont="1" applyFill="1" applyBorder="1" applyAlignment="1">
      <alignment horizontal="center" vertical="center" wrapText="1" readingOrder="1"/>
    </xf>
    <xf numFmtId="0" fontId="8" fillId="9" borderId="6" xfId="0" applyFont="1" applyFill="1" applyBorder="1" applyAlignment="1" applyProtection="1">
      <alignment horizontal="center" vertical="center" wrapText="1" readingOrder="1"/>
      <protection locked="0"/>
    </xf>
    <xf numFmtId="8" fontId="8" fillId="13" borderId="5" xfId="0" applyNumberFormat="1" applyFont="1" applyFill="1" applyBorder="1" applyAlignment="1">
      <alignment horizontal="center" vertical="center" wrapText="1" readingOrder="1"/>
    </xf>
    <xf numFmtId="8" fontId="8" fillId="13" borderId="7" xfId="0" applyNumberFormat="1" applyFont="1" applyFill="1" applyBorder="1" applyAlignment="1">
      <alignment horizontal="center" vertical="center" wrapText="1" readingOrder="1"/>
    </xf>
    <xf numFmtId="0" fontId="11" fillId="5" borderId="12" xfId="0" applyFont="1" applyFill="1" applyBorder="1"/>
    <xf numFmtId="0" fontId="14" fillId="5" borderId="4" xfId="0" applyFont="1" applyFill="1" applyBorder="1" applyAlignment="1">
      <alignment horizontal="left" vertical="center" wrapText="1" readingOrder="1"/>
    </xf>
    <xf numFmtId="0" fontId="14" fillId="5" borderId="13" xfId="0" applyFont="1" applyFill="1" applyBorder="1" applyAlignment="1">
      <alignment horizontal="left" vertical="center" wrapText="1" readingOrder="1"/>
    </xf>
    <xf numFmtId="0" fontId="16" fillId="5" borderId="14" xfId="0" applyFont="1" applyFill="1" applyBorder="1"/>
    <xf numFmtId="0" fontId="14" fillId="5" borderId="10" xfId="0" applyFont="1" applyFill="1" applyBorder="1" applyAlignment="1">
      <alignment horizontal="left" vertical="center" wrapText="1" readingOrder="1"/>
    </xf>
    <xf numFmtId="0" fontId="11" fillId="0" borderId="0" xfId="0" applyFont="1"/>
    <xf numFmtId="0" fontId="14" fillId="10" borderId="4" xfId="0" applyFont="1" applyFill="1" applyBorder="1" applyAlignment="1">
      <alignment horizontal="left" vertical="center" wrapText="1" readingOrder="1"/>
    </xf>
    <xf numFmtId="0" fontId="14" fillId="10" borderId="15" xfId="0" applyFont="1" applyFill="1" applyBorder="1" applyAlignment="1">
      <alignment horizontal="left" vertical="center" wrapText="1" readingOrder="1"/>
    </xf>
    <xf numFmtId="0" fontId="16" fillId="10" borderId="14" xfId="0" applyFont="1" applyFill="1" applyBorder="1"/>
    <xf numFmtId="0" fontId="14" fillId="10" borderId="10" xfId="0" applyFont="1" applyFill="1" applyBorder="1" applyAlignment="1">
      <alignment horizontal="left" vertical="center" wrapText="1" readingOrder="1"/>
    </xf>
    <xf numFmtId="0" fontId="4" fillId="4" borderId="1" xfId="0" applyFont="1" applyFill="1" applyBorder="1" applyAlignment="1">
      <alignment horizontal="center" vertical="center" wrapText="1" readingOrder="1"/>
    </xf>
    <xf numFmtId="8" fontId="20" fillId="4" borderId="1" xfId="0" applyNumberFormat="1" applyFont="1" applyFill="1" applyBorder="1" applyAlignment="1">
      <alignment horizontal="center" vertical="center" wrapText="1" readingOrder="1"/>
    </xf>
    <xf numFmtId="8" fontId="4" fillId="4" borderId="3" xfId="0" applyNumberFormat="1" applyFont="1" applyFill="1" applyBorder="1" applyAlignment="1">
      <alignment horizontal="center" vertical="center" wrapText="1" readingOrder="1"/>
    </xf>
    <xf numFmtId="8" fontId="4" fillId="3" borderId="3" xfId="0" applyNumberFormat="1" applyFont="1" applyFill="1" applyBorder="1" applyAlignment="1">
      <alignment horizontal="center" vertical="center" wrapText="1" readingOrder="1"/>
    </xf>
    <xf numFmtId="0" fontId="4" fillId="3" borderId="1" xfId="0" applyFont="1" applyFill="1" applyBorder="1" applyAlignment="1">
      <alignment horizontal="center" vertical="center" wrapText="1" readingOrder="1"/>
    </xf>
    <xf numFmtId="8" fontId="20" fillId="3" borderId="1" xfId="0" applyNumberFormat="1" applyFont="1" applyFill="1" applyBorder="1" applyAlignment="1">
      <alignment horizontal="center" vertical="center" wrapText="1" readingOrder="1"/>
    </xf>
    <xf numFmtId="0" fontId="4" fillId="2" borderId="1" xfId="0" applyFont="1" applyFill="1" applyBorder="1" applyAlignment="1">
      <alignment horizontal="center" vertical="center" wrapText="1" readingOrder="1"/>
    </xf>
    <xf numFmtId="8" fontId="4" fillId="2" borderId="1" xfId="0" applyNumberFormat="1" applyFont="1" applyFill="1" applyBorder="1" applyAlignment="1">
      <alignment horizontal="center" vertical="center" wrapText="1" readingOrder="1"/>
    </xf>
    <xf numFmtId="0" fontId="4" fillId="15" borderId="1" xfId="0" applyFont="1" applyFill="1" applyBorder="1" applyAlignment="1">
      <alignment horizontal="center" vertical="center" wrapText="1" readingOrder="1"/>
    </xf>
    <xf numFmtId="8" fontId="4" fillId="15" borderId="1" xfId="0" applyNumberFormat="1" applyFont="1" applyFill="1" applyBorder="1" applyAlignment="1">
      <alignment horizontal="center" vertical="center" wrapText="1" readingOrder="1"/>
    </xf>
    <xf numFmtId="8" fontId="4" fillId="15" borderId="3" xfId="0" applyNumberFormat="1" applyFont="1" applyFill="1" applyBorder="1" applyAlignment="1">
      <alignment horizontal="center" vertical="center" wrapText="1" readingOrder="1"/>
    </xf>
    <xf numFmtId="0" fontId="14" fillId="7" borderId="4" xfId="0" applyFont="1" applyFill="1" applyBorder="1" applyAlignment="1">
      <alignment horizontal="left" vertical="center" wrapText="1" readingOrder="1"/>
    </xf>
    <xf numFmtId="0" fontId="2" fillId="7" borderId="5" xfId="0" applyFont="1" applyFill="1" applyBorder="1" applyAlignment="1">
      <alignment horizontal="center" vertical="center" wrapText="1" readingOrder="1"/>
    </xf>
    <xf numFmtId="8" fontId="8" fillId="7" borderId="5" xfId="0" applyNumberFormat="1" applyFont="1" applyFill="1" applyBorder="1" applyAlignment="1">
      <alignment horizontal="center" vertical="center" wrapText="1" readingOrder="1"/>
    </xf>
    <xf numFmtId="8" fontId="8" fillId="7" borderId="7" xfId="0" applyNumberFormat="1" applyFont="1" applyFill="1" applyBorder="1" applyAlignment="1">
      <alignment horizontal="center" vertical="center" wrapText="1" readingOrder="1"/>
    </xf>
    <xf numFmtId="0" fontId="4" fillId="12" borderId="1" xfId="0" applyFont="1" applyFill="1" applyBorder="1" applyAlignment="1">
      <alignment horizontal="center" vertical="center" wrapText="1" readingOrder="1"/>
    </xf>
    <xf numFmtId="8" fontId="4" fillId="12" borderId="1" xfId="0" applyNumberFormat="1" applyFont="1" applyFill="1" applyBorder="1" applyAlignment="1">
      <alignment horizontal="center" vertical="center" wrapText="1" readingOrder="1"/>
    </xf>
    <xf numFmtId="8" fontId="4" fillId="12" borderId="3" xfId="0" applyNumberFormat="1" applyFont="1" applyFill="1" applyBorder="1" applyAlignment="1">
      <alignment horizontal="center" wrapText="1" readingOrder="1"/>
    </xf>
    <xf numFmtId="0" fontId="14" fillId="11" borderId="4" xfId="0" applyFont="1" applyFill="1" applyBorder="1" applyAlignment="1">
      <alignment horizontal="left" vertical="center" wrapText="1" readingOrder="1"/>
    </xf>
    <xf numFmtId="0" fontId="2" fillId="11" borderId="5" xfId="0" applyFont="1" applyFill="1" applyBorder="1" applyAlignment="1">
      <alignment horizontal="center" vertical="center" wrapText="1" readingOrder="1"/>
    </xf>
    <xf numFmtId="8" fontId="8" fillId="11" borderId="5" xfId="0" applyNumberFormat="1" applyFont="1" applyFill="1" applyBorder="1" applyAlignment="1">
      <alignment horizontal="center" vertical="center" wrapText="1" readingOrder="1"/>
    </xf>
    <xf numFmtId="0" fontId="14" fillId="11" borderId="10" xfId="0" applyFont="1" applyFill="1" applyBorder="1" applyAlignment="1">
      <alignment horizontal="left" vertical="center" wrapText="1" readingOrder="1"/>
    </xf>
    <xf numFmtId="8" fontId="8" fillId="11" borderId="7" xfId="0" applyNumberFormat="1" applyFont="1" applyFill="1" applyBorder="1" applyAlignment="1">
      <alignment horizontal="center" vertical="center" wrapText="1" readingOrder="1"/>
    </xf>
    <xf numFmtId="8" fontId="4" fillId="2" borderId="3" xfId="0" applyNumberFormat="1" applyFont="1" applyFill="1" applyBorder="1" applyAlignment="1">
      <alignment horizontal="center" vertical="center" wrapText="1" readingOrder="1"/>
    </xf>
    <xf numFmtId="0" fontId="8" fillId="13" borderId="4" xfId="0" applyFont="1" applyFill="1" applyBorder="1" applyAlignment="1">
      <alignment horizontal="left" vertical="center" wrapText="1" readingOrder="1"/>
    </xf>
    <xf numFmtId="0" fontId="8" fillId="13" borderId="5" xfId="0" applyFont="1" applyFill="1" applyBorder="1" applyAlignment="1">
      <alignment horizontal="center" vertical="center" wrapText="1" readingOrder="1"/>
    </xf>
    <xf numFmtId="0" fontId="8" fillId="13" borderId="10" xfId="0" applyFont="1" applyFill="1" applyBorder="1" applyAlignment="1">
      <alignment horizontal="left" vertical="center" wrapText="1" readingOrder="1"/>
    </xf>
    <xf numFmtId="0" fontId="14" fillId="11" borderId="17" xfId="0" applyFont="1" applyFill="1" applyBorder="1" applyAlignment="1">
      <alignment horizontal="left" vertical="center" wrapText="1" readingOrder="1"/>
    </xf>
    <xf numFmtId="0" fontId="1" fillId="11" borderId="18" xfId="0" applyFont="1" applyFill="1" applyBorder="1" applyAlignment="1">
      <alignment horizontal="center" vertical="center"/>
    </xf>
    <xf numFmtId="0" fontId="8" fillId="9" borderId="21" xfId="0" applyFont="1" applyFill="1" applyBorder="1" applyAlignment="1" applyProtection="1">
      <alignment horizontal="center" vertical="center" wrapText="1" readingOrder="1"/>
      <protection locked="0"/>
    </xf>
    <xf numFmtId="0" fontId="5" fillId="6" borderId="22" xfId="0" applyFont="1" applyFill="1" applyBorder="1" applyAlignment="1">
      <alignment horizontal="left" vertical="center" readingOrder="1"/>
    </xf>
    <xf numFmtId="0" fontId="4" fillId="17" borderId="1" xfId="0" applyFont="1" applyFill="1" applyBorder="1" applyAlignment="1">
      <alignment horizontal="center" vertical="center" wrapText="1" readingOrder="1"/>
    </xf>
    <xf numFmtId="8" fontId="20" fillId="17" borderId="1" xfId="0" applyNumberFormat="1" applyFont="1" applyFill="1" applyBorder="1" applyAlignment="1">
      <alignment horizontal="center" vertical="center" wrapText="1" readingOrder="1"/>
    </xf>
    <xf numFmtId="8" fontId="4" fillId="17" borderId="3" xfId="0" applyNumberFormat="1" applyFont="1" applyFill="1" applyBorder="1" applyAlignment="1">
      <alignment horizontal="center" vertical="center" wrapText="1" readingOrder="1"/>
    </xf>
    <xf numFmtId="0" fontId="23" fillId="17" borderId="1" xfId="0" applyFont="1" applyFill="1" applyBorder="1" applyAlignment="1">
      <alignment horizontal="center" vertical="center" wrapText="1" readingOrder="1"/>
    </xf>
    <xf numFmtId="0" fontId="23" fillId="12" borderId="1" xfId="0" applyFont="1" applyFill="1" applyBorder="1" applyAlignment="1">
      <alignment horizontal="center" vertical="center" wrapText="1" readingOrder="1"/>
    </xf>
    <xf numFmtId="0" fontId="23" fillId="15" borderId="1" xfId="0" applyFont="1" applyFill="1" applyBorder="1" applyAlignment="1">
      <alignment horizontal="center" vertical="center" wrapText="1" readingOrder="1"/>
    </xf>
    <xf numFmtId="0" fontId="23" fillId="3" borderId="1" xfId="0" applyFont="1" applyFill="1" applyBorder="1" applyAlignment="1">
      <alignment horizontal="center" vertical="center" wrapText="1" readingOrder="1"/>
    </xf>
    <xf numFmtId="0" fontId="23" fillId="4" borderId="1" xfId="0" applyFont="1" applyFill="1" applyBorder="1" applyAlignment="1">
      <alignment horizontal="center" vertical="center" wrapText="1" readingOrder="1"/>
    </xf>
    <xf numFmtId="0" fontId="23" fillId="2" borderId="1" xfId="0" applyFont="1" applyFill="1" applyBorder="1" applyAlignment="1">
      <alignment horizontal="center" vertical="center" wrapText="1" readingOrder="1"/>
    </xf>
    <xf numFmtId="0" fontId="2" fillId="18" borderId="5" xfId="0" applyFont="1" applyFill="1" applyBorder="1" applyAlignment="1">
      <alignment horizontal="center" vertical="center" wrapText="1" readingOrder="1"/>
    </xf>
    <xf numFmtId="8" fontId="8" fillId="18" borderId="5" xfId="0" applyNumberFormat="1" applyFont="1" applyFill="1" applyBorder="1" applyAlignment="1">
      <alignment horizontal="center" vertical="center" wrapText="1" readingOrder="1"/>
    </xf>
    <xf numFmtId="0" fontId="14" fillId="18" borderId="4" xfId="0" applyFont="1" applyFill="1" applyBorder="1" applyAlignment="1">
      <alignment horizontal="left" vertical="center" wrapText="1" readingOrder="1"/>
    </xf>
    <xf numFmtId="0" fontId="14" fillId="18" borderId="13" xfId="0" applyFont="1" applyFill="1" applyBorder="1" applyAlignment="1">
      <alignment horizontal="left" vertical="center" wrapText="1" readingOrder="1"/>
    </xf>
    <xf numFmtId="0" fontId="14" fillId="18" borderId="11" xfId="0" applyFont="1" applyFill="1" applyBorder="1" applyAlignment="1">
      <alignment horizontal="left" vertical="center" wrapText="1" readingOrder="1"/>
    </xf>
    <xf numFmtId="0" fontId="14" fillId="18" borderId="10" xfId="0" applyFont="1" applyFill="1" applyBorder="1" applyAlignment="1">
      <alignment horizontal="left" vertical="center" wrapText="1" readingOrder="1"/>
    </xf>
    <xf numFmtId="0" fontId="2" fillId="18" borderId="19" xfId="0" applyFont="1" applyFill="1" applyBorder="1" applyAlignment="1">
      <alignment horizontal="center" vertical="center" wrapText="1" readingOrder="1"/>
    </xf>
    <xf numFmtId="8" fontId="8" fillId="18" borderId="20" xfId="0" applyNumberFormat="1" applyFont="1" applyFill="1" applyBorder="1" applyAlignment="1">
      <alignment horizontal="center" vertical="center" wrapText="1" readingOrder="1"/>
    </xf>
    <xf numFmtId="8" fontId="8" fillId="18" borderId="7" xfId="0" applyNumberFormat="1" applyFont="1" applyFill="1" applyBorder="1" applyAlignment="1">
      <alignment horizontal="center" vertical="center" wrapText="1" readingOrder="1"/>
    </xf>
    <xf numFmtId="8" fontId="8" fillId="18" borderId="21" xfId="0" applyNumberFormat="1" applyFont="1" applyFill="1" applyBorder="1" applyAlignment="1">
      <alignment horizontal="center" vertical="center" wrapText="1" readingOrder="1"/>
    </xf>
    <xf numFmtId="0" fontId="0" fillId="19" borderId="23" xfId="0" applyFill="1" applyBorder="1" applyAlignment="1">
      <alignment horizontal="center" vertical="center" wrapText="1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19" borderId="24" xfId="0" applyFill="1" applyBorder="1" applyAlignment="1">
      <alignment horizontal="center" vertical="center" wrapText="1"/>
    </xf>
    <xf numFmtId="0" fontId="0" fillId="0" borderId="31" xfId="0" applyBorder="1"/>
    <xf numFmtId="0" fontId="0" fillId="16" borderId="31" xfId="0" applyFill="1" applyBorder="1"/>
    <xf numFmtId="0" fontId="0" fillId="19" borderId="34" xfId="0" applyFill="1" applyBorder="1"/>
    <xf numFmtId="0" fontId="0" fillId="19" borderId="36" xfId="0" applyFill="1" applyBorder="1"/>
    <xf numFmtId="0" fontId="0" fillId="16" borderId="37" xfId="0" applyFill="1" applyBorder="1"/>
    <xf numFmtId="0" fontId="25" fillId="0" borderId="0" xfId="0" applyFont="1"/>
    <xf numFmtId="8" fontId="0" fillId="16" borderId="35" xfId="0" applyNumberFormat="1" applyFill="1" applyBorder="1"/>
    <xf numFmtId="8" fontId="0" fillId="16" borderId="38" xfId="0" applyNumberFormat="1" applyFill="1" applyBorder="1"/>
    <xf numFmtId="0" fontId="0" fillId="20" borderId="31" xfId="0" applyFill="1" applyBorder="1"/>
    <xf numFmtId="0" fontId="0" fillId="20" borderId="41" xfId="0" applyFill="1" applyBorder="1"/>
    <xf numFmtId="8" fontId="0" fillId="16" borderId="42" xfId="0" applyNumberFormat="1" applyFill="1" applyBorder="1"/>
    <xf numFmtId="0" fontId="0" fillId="19" borderId="0" xfId="0" applyFill="1"/>
    <xf numFmtId="8" fontId="0" fillId="19" borderId="0" xfId="0" applyNumberFormat="1" applyFill="1"/>
    <xf numFmtId="0" fontId="0" fillId="5" borderId="31" xfId="0" applyFill="1" applyBorder="1"/>
    <xf numFmtId="3" fontId="0" fillId="5" borderId="31" xfId="0" applyNumberFormat="1" applyFill="1" applyBorder="1"/>
    <xf numFmtId="9" fontId="0" fillId="5" borderId="31" xfId="0" applyNumberFormat="1" applyFill="1" applyBorder="1" applyAlignment="1">
      <alignment horizontal="center"/>
    </xf>
    <xf numFmtId="3" fontId="0" fillId="8" borderId="31" xfId="0" applyNumberFormat="1" applyFill="1" applyBorder="1"/>
    <xf numFmtId="0" fontId="0" fillId="21" borderId="0" xfId="0" applyFill="1"/>
    <xf numFmtId="3" fontId="0" fillId="21" borderId="31" xfId="0" applyNumberFormat="1" applyFill="1" applyBorder="1"/>
    <xf numFmtId="0" fontId="0" fillId="21" borderId="31" xfId="0" applyFill="1" applyBorder="1"/>
    <xf numFmtId="3" fontId="0" fillId="0" borderId="31" xfId="0" applyNumberFormat="1" applyBorder="1"/>
    <xf numFmtId="9" fontId="0" fillId="0" borderId="31" xfId="0" applyNumberFormat="1" applyBorder="1" applyAlignment="1">
      <alignment horizontal="center"/>
    </xf>
    <xf numFmtId="3" fontId="0" fillId="0" borderId="0" xfId="0" applyNumberFormat="1"/>
    <xf numFmtId="166" fontId="0" fillId="0" borderId="31" xfId="0" applyNumberFormat="1" applyBorder="1"/>
    <xf numFmtId="165" fontId="0" fillId="14" borderId="31" xfId="0" applyNumberFormat="1" applyFill="1" applyBorder="1"/>
    <xf numFmtId="166" fontId="0" fillId="22" borderId="31" xfId="0" applyNumberFormat="1" applyFill="1" applyBorder="1"/>
    <xf numFmtId="3" fontId="0" fillId="9" borderId="31" xfId="0" applyNumberFormat="1" applyFill="1" applyBorder="1"/>
    <xf numFmtId="166" fontId="0" fillId="9" borderId="31" xfId="0" applyNumberFormat="1" applyFill="1" applyBorder="1"/>
    <xf numFmtId="0" fontId="0" fillId="9" borderId="31" xfId="0" applyFill="1" applyBorder="1"/>
    <xf numFmtId="165" fontId="0" fillId="8" borderId="31" xfId="0" applyNumberFormat="1" applyFill="1" applyBorder="1"/>
    <xf numFmtId="9" fontId="0" fillId="0" borderId="0" xfId="0" applyNumberFormat="1" applyAlignment="1">
      <alignment horizontal="center"/>
    </xf>
    <xf numFmtId="3" fontId="0" fillId="10" borderId="0" xfId="0" applyNumberFormat="1" applyFill="1"/>
    <xf numFmtId="9" fontId="0" fillId="10" borderId="0" xfId="0" applyNumberFormat="1" applyFill="1" applyAlignment="1">
      <alignment horizontal="center"/>
    </xf>
    <xf numFmtId="165" fontId="0" fillId="14" borderId="0" xfId="0" applyNumberFormat="1" applyFill="1"/>
    <xf numFmtId="166" fontId="0" fillId="10" borderId="0" xfId="0" applyNumberFormat="1" applyFill="1"/>
    <xf numFmtId="0" fontId="11" fillId="18" borderId="43" xfId="0" applyFont="1" applyFill="1" applyBorder="1"/>
    <xf numFmtId="0" fontId="14" fillId="7" borderId="17" xfId="0" applyFont="1" applyFill="1" applyBorder="1" applyAlignment="1">
      <alignment horizontal="left" vertical="center" wrapText="1" readingOrder="1"/>
    </xf>
    <xf numFmtId="0" fontId="11" fillId="0" borderId="44" xfId="0" applyFont="1" applyBorder="1"/>
    <xf numFmtId="0" fontId="0" fillId="0" borderId="0" xfId="0" applyBorder="1"/>
    <xf numFmtId="0" fontId="11" fillId="0" borderId="50" xfId="0" applyFont="1" applyBorder="1"/>
    <xf numFmtId="0" fontId="8" fillId="13" borderId="47" xfId="0" applyFont="1" applyFill="1" applyBorder="1" applyAlignment="1">
      <alignment horizontal="left" vertical="center" wrapText="1" readingOrder="1"/>
    </xf>
    <xf numFmtId="0" fontId="8" fillId="13" borderId="48" xfId="0" applyFont="1" applyFill="1" applyBorder="1" applyAlignment="1">
      <alignment horizontal="left" vertical="center" wrapText="1" readingOrder="1"/>
    </xf>
    <xf numFmtId="0" fontId="0" fillId="0" borderId="0" xfId="0" applyBorder="1" applyAlignment="1">
      <alignment horizontal="center"/>
    </xf>
    <xf numFmtId="165" fontId="0" fillId="0" borderId="0" xfId="0" applyNumberFormat="1"/>
    <xf numFmtId="0" fontId="30" fillId="3" borderId="1" xfId="0" applyFont="1" applyFill="1" applyBorder="1" applyAlignment="1">
      <alignment horizontal="center" vertical="center" wrapText="1" readingOrder="1"/>
    </xf>
    <xf numFmtId="0" fontId="30" fillId="15" borderId="1" xfId="0" applyFont="1" applyFill="1" applyBorder="1" applyAlignment="1">
      <alignment horizontal="center" vertical="center" wrapText="1" readingOrder="1"/>
    </xf>
    <xf numFmtId="0" fontId="6" fillId="5" borderId="46" xfId="0" applyFont="1" applyFill="1" applyBorder="1" applyAlignment="1">
      <alignment horizontal="center" vertical="center"/>
    </xf>
    <xf numFmtId="0" fontId="28" fillId="5" borderId="47" xfId="0" applyFont="1" applyFill="1" applyBorder="1" applyAlignment="1">
      <alignment horizontal="center" vertical="center" wrapText="1" readingOrder="1"/>
    </xf>
    <xf numFmtId="0" fontId="28" fillId="5" borderId="46" xfId="0" applyFont="1" applyFill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/>
    </xf>
    <xf numFmtId="0" fontId="28" fillId="10" borderId="47" xfId="0" applyFont="1" applyFill="1" applyBorder="1" applyAlignment="1">
      <alignment horizontal="center" vertical="center" wrapText="1" readingOrder="1"/>
    </xf>
    <xf numFmtId="0" fontId="28" fillId="10" borderId="49" xfId="0" applyFont="1" applyFill="1" applyBorder="1" applyAlignment="1">
      <alignment horizontal="center" vertical="center" wrapText="1" readingOrder="1"/>
    </xf>
    <xf numFmtId="0" fontId="28" fillId="10" borderId="48" xfId="0" applyFont="1" applyFill="1" applyBorder="1" applyAlignment="1">
      <alignment horizontal="center" vertical="center" wrapText="1" readingOrder="1"/>
    </xf>
    <xf numFmtId="0" fontId="28" fillId="7" borderId="47" xfId="0" applyFont="1" applyFill="1" applyBorder="1" applyAlignment="1">
      <alignment horizontal="center" vertical="center" wrapText="1" readingOrder="1"/>
    </xf>
    <xf numFmtId="0" fontId="28" fillId="7" borderId="48" xfId="0" applyFont="1" applyFill="1" applyBorder="1" applyAlignment="1">
      <alignment horizontal="center" vertical="center" wrapText="1" readingOrder="1"/>
    </xf>
    <xf numFmtId="0" fontId="30" fillId="17" borderId="1" xfId="0" applyFont="1" applyFill="1" applyBorder="1" applyAlignment="1">
      <alignment horizontal="center" vertical="center" wrapText="1" readingOrder="1"/>
    </xf>
    <xf numFmtId="0" fontId="28" fillId="11" borderId="47" xfId="0" applyFont="1" applyFill="1" applyBorder="1" applyAlignment="1">
      <alignment horizontal="center" vertical="center" wrapText="1" readingOrder="1"/>
    </xf>
    <xf numFmtId="0" fontId="28" fillId="11" borderId="48" xfId="0" applyFont="1" applyFill="1" applyBorder="1" applyAlignment="1">
      <alignment horizontal="center" vertical="center" wrapText="1" readingOrder="1"/>
    </xf>
    <xf numFmtId="0" fontId="28" fillId="11" borderId="51" xfId="0" applyFont="1" applyFill="1" applyBorder="1" applyAlignment="1">
      <alignment horizontal="center" vertical="center" wrapText="1" readingOrder="1"/>
    </xf>
    <xf numFmtId="0" fontId="6" fillId="0" borderId="0" xfId="0" applyFont="1" applyAlignment="1">
      <alignment horizontal="center"/>
    </xf>
    <xf numFmtId="0" fontId="28" fillId="13" borderId="47" xfId="0" applyFont="1" applyFill="1" applyBorder="1" applyAlignment="1">
      <alignment horizontal="center" vertical="center" wrapText="1" readingOrder="1"/>
    </xf>
    <xf numFmtId="0" fontId="28" fillId="13" borderId="48" xfId="0" applyFont="1" applyFill="1" applyBorder="1" applyAlignment="1">
      <alignment horizontal="center" vertical="center" wrapText="1" readingOrder="1"/>
    </xf>
    <xf numFmtId="0" fontId="6" fillId="18" borderId="46" xfId="0" applyFont="1" applyFill="1" applyBorder="1" applyAlignment="1">
      <alignment horizontal="center"/>
    </xf>
    <xf numFmtId="0" fontId="28" fillId="18" borderId="47" xfId="0" applyFont="1" applyFill="1" applyBorder="1" applyAlignment="1">
      <alignment horizontal="center" vertical="center" wrapText="1" readingOrder="1"/>
    </xf>
    <xf numFmtId="0" fontId="28" fillId="18" borderId="46" xfId="0" applyFont="1" applyFill="1" applyBorder="1" applyAlignment="1">
      <alignment horizontal="center" vertical="center" wrapText="1" readingOrder="1"/>
    </xf>
    <xf numFmtId="0" fontId="28" fillId="18" borderId="52" xfId="0" applyFont="1" applyFill="1" applyBorder="1" applyAlignment="1">
      <alignment horizontal="center" vertical="center" wrapText="1" readingOrder="1"/>
    </xf>
    <xf numFmtId="0" fontId="29" fillId="5" borderId="53" xfId="0" applyFont="1" applyFill="1" applyBorder="1" applyAlignment="1">
      <alignment horizontal="center" vertical="center"/>
    </xf>
    <xf numFmtId="0" fontId="28" fillId="5" borderId="54" xfId="0" applyFont="1" applyFill="1" applyBorder="1" applyAlignment="1">
      <alignment horizontal="center" vertical="center" wrapText="1" readingOrder="1"/>
    </xf>
    <xf numFmtId="0" fontId="29" fillId="5" borderId="55" xfId="0" applyFont="1" applyFill="1" applyBorder="1" applyAlignment="1">
      <alignment horizontal="center" vertical="center"/>
    </xf>
    <xf numFmtId="0" fontId="28" fillId="5" borderId="56" xfId="0" applyFont="1" applyFill="1" applyBorder="1" applyAlignment="1">
      <alignment horizontal="center" vertical="center" wrapText="1" readingOrder="1"/>
    </xf>
    <xf numFmtId="0" fontId="29" fillId="10" borderId="57" xfId="0" applyFont="1" applyFill="1" applyBorder="1" applyAlignment="1">
      <alignment horizontal="center" vertical="center"/>
    </xf>
    <xf numFmtId="0" fontId="29" fillId="10" borderId="58" xfId="0" applyFont="1" applyFill="1" applyBorder="1" applyAlignment="1">
      <alignment horizontal="center" vertical="center"/>
    </xf>
    <xf numFmtId="0" fontId="7" fillId="10" borderId="59" xfId="0" applyFont="1" applyFill="1" applyBorder="1" applyAlignment="1">
      <alignment horizontal="center" vertical="center"/>
    </xf>
    <xf numFmtId="0" fontId="28" fillId="18" borderId="56" xfId="0" applyFont="1" applyFill="1" applyBorder="1" applyAlignment="1">
      <alignment horizontal="center" vertical="center" wrapText="1" readingOrder="1"/>
    </xf>
    <xf numFmtId="0" fontId="28" fillId="5" borderId="19" xfId="0" applyFont="1" applyFill="1" applyBorder="1" applyAlignment="1">
      <alignment horizontal="center" vertical="center" wrapText="1" readingOrder="1"/>
    </xf>
    <xf numFmtId="0" fontId="6" fillId="0" borderId="50" xfId="0" applyFont="1" applyBorder="1" applyAlignment="1">
      <alignment horizontal="center" vertical="center"/>
    </xf>
    <xf numFmtId="0" fontId="28" fillId="10" borderId="19" xfId="0" applyFont="1" applyFill="1" applyBorder="1" applyAlignment="1">
      <alignment horizontal="center" vertical="center" wrapText="1" readingOrder="1"/>
    </xf>
    <xf numFmtId="0" fontId="6" fillId="0" borderId="50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28" fillId="11" borderId="18" xfId="0" applyFont="1" applyFill="1" applyBorder="1" applyAlignment="1">
      <alignment horizontal="center" vertical="center" wrapText="1" readingOrder="1"/>
    </xf>
    <xf numFmtId="8" fontId="4" fillId="4" borderId="8" xfId="0" applyNumberFormat="1" applyFont="1" applyFill="1" applyBorder="1" applyAlignment="1">
      <alignment horizontal="center" vertical="center" wrapText="1" readingOrder="1"/>
    </xf>
    <xf numFmtId="8" fontId="8" fillId="5" borderId="60" xfId="0" applyNumberFormat="1" applyFont="1" applyFill="1" applyBorder="1" applyAlignment="1">
      <alignment horizontal="center" vertical="center" wrapText="1" readingOrder="1"/>
    </xf>
    <xf numFmtId="8" fontId="8" fillId="6" borderId="2" xfId="0" applyNumberFormat="1" applyFont="1" applyFill="1" applyBorder="1" applyAlignment="1">
      <alignment horizontal="center" vertical="center" wrapText="1" readingOrder="1"/>
    </xf>
    <xf numFmtId="8" fontId="4" fillId="3" borderId="8" xfId="0" applyNumberFormat="1" applyFont="1" applyFill="1" applyBorder="1" applyAlignment="1">
      <alignment horizontal="center" vertical="center" wrapText="1" readingOrder="1"/>
    </xf>
    <xf numFmtId="8" fontId="8" fillId="10" borderId="60" xfId="0" applyNumberFormat="1" applyFont="1" applyFill="1" applyBorder="1" applyAlignment="1">
      <alignment horizontal="center" vertical="center" wrapText="1" readingOrder="1"/>
    </xf>
    <xf numFmtId="8" fontId="4" fillId="15" borderId="8" xfId="0" applyNumberFormat="1" applyFont="1" applyFill="1" applyBorder="1" applyAlignment="1">
      <alignment horizontal="center" vertical="center" wrapText="1" readingOrder="1"/>
    </xf>
    <xf numFmtId="8" fontId="8" fillId="7" borderId="60" xfId="0" applyNumberFormat="1" applyFont="1" applyFill="1" applyBorder="1" applyAlignment="1">
      <alignment horizontal="center" vertical="center" wrapText="1" readingOrder="1"/>
    </xf>
    <xf numFmtId="8" fontId="4" fillId="12" borderId="8" xfId="0" applyNumberFormat="1" applyFont="1" applyFill="1" applyBorder="1" applyAlignment="1">
      <alignment horizontal="center" wrapText="1" readingOrder="1"/>
    </xf>
    <xf numFmtId="8" fontId="8" fillId="11" borderId="60" xfId="0" applyNumberFormat="1" applyFont="1" applyFill="1" applyBorder="1" applyAlignment="1">
      <alignment horizontal="center" vertical="center" wrapText="1" readingOrder="1"/>
    </xf>
    <xf numFmtId="8" fontId="8" fillId="13" borderId="60" xfId="0" applyNumberFormat="1" applyFont="1" applyFill="1" applyBorder="1" applyAlignment="1">
      <alignment horizontal="center" vertical="center" wrapText="1" readingOrder="1"/>
    </xf>
    <xf numFmtId="8" fontId="4" fillId="17" borderId="8" xfId="0" applyNumberFormat="1" applyFont="1" applyFill="1" applyBorder="1" applyAlignment="1">
      <alignment horizontal="center" vertical="center" wrapText="1" readingOrder="1"/>
    </xf>
    <xf numFmtId="8" fontId="8" fillId="18" borderId="60" xfId="0" applyNumberFormat="1" applyFont="1" applyFill="1" applyBorder="1" applyAlignment="1">
      <alignment horizontal="center" vertical="center" wrapText="1" readingOrder="1"/>
    </xf>
    <xf numFmtId="8" fontId="8" fillId="18" borderId="62" xfId="0" applyNumberFormat="1" applyFont="1" applyFill="1" applyBorder="1" applyAlignment="1">
      <alignment horizontal="center" vertical="center" wrapText="1" readingOrder="1"/>
    </xf>
    <xf numFmtId="0" fontId="0" fillId="23" borderId="23" xfId="0" applyFill="1" applyBorder="1"/>
    <xf numFmtId="0" fontId="0" fillId="23" borderId="44" xfId="0" applyFill="1" applyBorder="1"/>
    <xf numFmtId="0" fontId="0" fillId="23" borderId="63" xfId="0" applyFill="1" applyBorder="1"/>
    <xf numFmtId="0" fontId="0" fillId="23" borderId="9" xfId="0" applyFill="1" applyBorder="1"/>
    <xf numFmtId="0" fontId="0" fillId="23" borderId="61" xfId="0" applyFill="1" applyBorder="1"/>
    <xf numFmtId="0" fontId="0" fillId="23" borderId="64" xfId="0" applyFill="1" applyBorder="1"/>
    <xf numFmtId="0" fontId="0" fillId="0" borderId="0" xfId="0" applyFill="1"/>
    <xf numFmtId="0" fontId="0" fillId="23" borderId="4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25" borderId="0" xfId="0" applyFill="1"/>
    <xf numFmtId="0" fontId="0" fillId="25" borderId="23" xfId="0" applyFill="1" applyBorder="1"/>
    <xf numFmtId="0" fontId="0" fillId="25" borderId="63" xfId="0" applyFill="1" applyBorder="1"/>
    <xf numFmtId="165" fontId="0" fillId="25" borderId="9" xfId="0" applyNumberFormat="1" applyFill="1" applyBorder="1"/>
    <xf numFmtId="0" fontId="0" fillId="25" borderId="61" xfId="0" applyFill="1" applyBorder="1"/>
    <xf numFmtId="165" fontId="0" fillId="25" borderId="64" xfId="0" applyNumberFormat="1" applyFill="1" applyBorder="1"/>
    <xf numFmtId="0" fontId="0" fillId="14" borderId="23" xfId="0" applyFill="1" applyBorder="1"/>
    <xf numFmtId="0" fontId="0" fillId="14" borderId="63" xfId="0" applyFill="1" applyBorder="1"/>
    <xf numFmtId="165" fontId="0" fillId="14" borderId="9" xfId="0" applyNumberFormat="1" applyFill="1" applyBorder="1"/>
    <xf numFmtId="0" fontId="0" fillId="14" borderId="9" xfId="0" applyFill="1" applyBorder="1"/>
    <xf numFmtId="0" fontId="0" fillId="14" borderId="61" xfId="0" applyFill="1" applyBorder="1"/>
    <xf numFmtId="165" fontId="0" fillId="14" borderId="64" xfId="0" applyNumberFormat="1" applyFill="1" applyBorder="1"/>
    <xf numFmtId="0" fontId="0" fillId="24" borderId="2" xfId="0" applyFill="1" applyBorder="1"/>
    <xf numFmtId="0" fontId="0" fillId="24" borderId="8" xfId="0" applyFill="1" applyBorder="1"/>
    <xf numFmtId="0" fontId="0" fillId="24" borderId="3" xfId="0" applyFill="1" applyBorder="1"/>
    <xf numFmtId="164" fontId="0" fillId="25" borderId="44" xfId="0" applyNumberFormat="1" applyFill="1" applyBorder="1"/>
    <xf numFmtId="44" fontId="0" fillId="14" borderId="44" xfId="0" applyNumberFormat="1" applyFill="1" applyBorder="1"/>
    <xf numFmtId="0" fontId="0" fillId="0" borderId="0" xfId="0" applyAlignment="1">
      <alignment horizontal="center" vertical="center"/>
    </xf>
    <xf numFmtId="0" fontId="0" fillId="25" borderId="0" xfId="0" applyFill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0" xfId="0" applyNumberFormat="1"/>
    <xf numFmtId="166" fontId="0" fillId="0" borderId="0" xfId="0" applyNumberFormat="1" applyAlignment="1">
      <alignment horizontal="center" vertical="center"/>
    </xf>
    <xf numFmtId="0" fontId="0" fillId="5" borderId="0" xfId="0" applyFill="1"/>
    <xf numFmtId="0" fontId="0" fillId="26" borderId="0" xfId="0" applyFill="1"/>
    <xf numFmtId="0" fontId="0" fillId="0" borderId="24" xfId="0" applyFill="1" applyBorder="1" applyAlignment="1">
      <alignment horizontal="center" vertical="center" wrapText="1"/>
    </xf>
    <xf numFmtId="0" fontId="0" fillId="0" borderId="24" xfId="0" applyFill="1" applyBorder="1"/>
    <xf numFmtId="0" fontId="0" fillId="0" borderId="65" xfId="0" applyFill="1" applyBorder="1"/>
    <xf numFmtId="0" fontId="0" fillId="0" borderId="45" xfId="0" applyFill="1" applyBorder="1"/>
    <xf numFmtId="0" fontId="0" fillId="18" borderId="0" xfId="0" applyFont="1" applyFill="1"/>
    <xf numFmtId="0" fontId="0" fillId="18" borderId="0" xfId="0" applyFill="1"/>
    <xf numFmtId="164" fontId="0" fillId="18" borderId="0" xfId="0" applyNumberFormat="1" applyFill="1"/>
    <xf numFmtId="0" fontId="0" fillId="27" borderId="0" xfId="0" applyFill="1"/>
    <xf numFmtId="0" fontId="0" fillId="0" borderId="63" xfId="0" applyBorder="1"/>
    <xf numFmtId="0" fontId="0" fillId="0" borderId="61" xfId="0" applyBorder="1"/>
    <xf numFmtId="0" fontId="0" fillId="0" borderId="64" xfId="0" applyBorder="1"/>
    <xf numFmtId="0" fontId="0" fillId="7" borderId="23" xfId="0" applyFill="1" applyBorder="1"/>
    <xf numFmtId="0" fontId="0" fillId="7" borderId="44" xfId="0" applyFill="1" applyBorder="1"/>
    <xf numFmtId="9" fontId="0" fillId="0" borderId="0" xfId="0" applyNumberFormat="1"/>
    <xf numFmtId="0" fontId="0" fillId="7" borderId="0" xfId="0" applyFill="1"/>
    <xf numFmtId="0" fontId="0" fillId="28" borderId="0" xfId="0" applyFill="1"/>
    <xf numFmtId="0" fontId="0" fillId="0" borderId="0" xfId="0" applyAlignment="1">
      <alignment horizontal="center"/>
    </xf>
    <xf numFmtId="0" fontId="0" fillId="0" borderId="0" xfId="0" applyProtection="1"/>
    <xf numFmtId="0" fontId="2" fillId="6" borderId="1" xfId="0" applyFont="1" applyFill="1" applyBorder="1" applyAlignment="1" applyProtection="1">
      <alignment horizontal="center" vertical="center" wrapText="1" readingOrder="1"/>
    </xf>
    <xf numFmtId="8" fontId="2" fillId="0" borderId="5" xfId="0" applyNumberFormat="1" applyFont="1" applyBorder="1" applyAlignment="1" applyProtection="1">
      <alignment horizontal="center" vertical="center" wrapText="1" readingOrder="1"/>
    </xf>
    <xf numFmtId="8" fontId="2" fillId="0" borderId="67" xfId="0" applyNumberFormat="1" applyFont="1" applyBorder="1" applyAlignment="1" applyProtection="1">
      <alignment horizontal="center" vertical="center" wrapText="1" readingOrder="1"/>
    </xf>
    <xf numFmtId="0" fontId="6" fillId="0" borderId="0" xfId="0" applyFont="1" applyProtection="1"/>
    <xf numFmtId="8" fontId="0" fillId="0" borderId="0" xfId="0" applyNumberFormat="1" applyProtection="1"/>
    <xf numFmtId="8" fontId="35" fillId="30" borderId="1" xfId="2" applyNumberFormat="1" applyBorder="1" applyAlignment="1" applyProtection="1">
      <alignment horizontal="center" vertical="center" wrapText="1" readingOrder="1"/>
    </xf>
    <xf numFmtId="8" fontId="35" fillId="30" borderId="2" xfId="2" applyNumberFormat="1" applyBorder="1" applyAlignment="1" applyProtection="1">
      <alignment horizontal="center" vertical="center" wrapText="1" readingOrder="1"/>
    </xf>
    <xf numFmtId="8" fontId="34" fillId="29" borderId="1" xfId="1" applyNumberFormat="1" applyBorder="1" applyAlignment="1" applyProtection="1">
      <alignment horizontal="center" vertical="center" wrapText="1" readingOrder="1"/>
    </xf>
    <xf numFmtId="8" fontId="34" fillId="29" borderId="2" xfId="1" applyNumberFormat="1" applyBorder="1" applyAlignment="1" applyProtection="1">
      <alignment horizontal="center" vertical="center" wrapText="1" readingOrder="1"/>
    </xf>
    <xf numFmtId="8" fontId="37" fillId="31" borderId="1" xfId="3" applyNumberFormat="1" applyBorder="1" applyAlignment="1" applyProtection="1">
      <alignment horizontal="center" vertical="center" wrapText="1" readingOrder="1"/>
    </xf>
    <xf numFmtId="8" fontId="37" fillId="31" borderId="2" xfId="3" applyNumberFormat="1" applyBorder="1" applyAlignment="1" applyProtection="1">
      <alignment horizontal="center" vertical="center" wrapText="1" readingOrder="1"/>
    </xf>
    <xf numFmtId="0" fontId="37" fillId="33" borderId="0" xfId="0" applyFont="1" applyFill="1" applyProtection="1"/>
    <xf numFmtId="8" fontId="4" fillId="33" borderId="5" xfId="0" applyNumberFormat="1" applyFont="1" applyFill="1" applyBorder="1" applyAlignment="1" applyProtection="1">
      <alignment horizontal="center" vertical="center" wrapText="1" readingOrder="1"/>
    </xf>
    <xf numFmtId="8" fontId="4" fillId="33" borderId="67" xfId="0" applyNumberFormat="1" applyFont="1" applyFill="1" applyBorder="1" applyAlignment="1" applyProtection="1">
      <alignment horizontal="center" vertical="center" wrapText="1" readingOrder="1"/>
    </xf>
    <xf numFmtId="8" fontId="37" fillId="33" borderId="0" xfId="0" applyNumberFormat="1" applyFont="1" applyFill="1" applyProtection="1"/>
    <xf numFmtId="8" fontId="4" fillId="34" borderId="5" xfId="0" applyNumberFormat="1" applyFont="1" applyFill="1" applyBorder="1" applyAlignment="1" applyProtection="1">
      <alignment horizontal="center" vertical="center" wrapText="1" readingOrder="1"/>
    </xf>
    <xf numFmtId="8" fontId="4" fillId="34" borderId="67" xfId="0" applyNumberFormat="1" applyFont="1" applyFill="1" applyBorder="1" applyAlignment="1" applyProtection="1">
      <alignment horizontal="center" vertical="center" wrapText="1" readingOrder="1"/>
    </xf>
    <xf numFmtId="0" fontId="36" fillId="34" borderId="0" xfId="0" applyFont="1" applyFill="1" applyProtection="1"/>
    <xf numFmtId="8" fontId="36" fillId="34" borderId="0" xfId="0" applyNumberFormat="1" applyFont="1" applyFill="1" applyProtection="1"/>
    <xf numFmtId="0" fontId="36" fillId="33" borderId="0" xfId="0" applyFont="1" applyFill="1"/>
    <xf numFmtId="0" fontId="36" fillId="35" borderId="0" xfId="0" applyFont="1" applyFill="1" applyProtection="1"/>
    <xf numFmtId="8" fontId="4" fillId="35" borderId="5" xfId="0" applyNumberFormat="1" applyFont="1" applyFill="1" applyBorder="1" applyAlignment="1" applyProtection="1">
      <alignment horizontal="center" vertical="center" wrapText="1" readingOrder="1"/>
    </xf>
    <xf numFmtId="8" fontId="4" fillId="35" borderId="67" xfId="0" applyNumberFormat="1" applyFont="1" applyFill="1" applyBorder="1" applyAlignment="1" applyProtection="1">
      <alignment horizontal="center" vertical="center" wrapText="1" readingOrder="1"/>
    </xf>
    <xf numFmtId="8" fontId="36" fillId="35" borderId="0" xfId="0" applyNumberFormat="1" applyFont="1" applyFill="1" applyProtection="1"/>
    <xf numFmtId="0" fontId="36" fillId="36" borderId="0" xfId="0" applyFont="1" applyFill="1" applyProtection="1"/>
    <xf numFmtId="8" fontId="4" fillId="36" borderId="5" xfId="0" applyNumberFormat="1" applyFont="1" applyFill="1" applyBorder="1" applyAlignment="1" applyProtection="1">
      <alignment horizontal="center" vertical="center" wrapText="1" readingOrder="1"/>
    </xf>
    <xf numFmtId="8" fontId="4" fillId="36" borderId="67" xfId="0" applyNumberFormat="1" applyFont="1" applyFill="1" applyBorder="1" applyAlignment="1" applyProtection="1">
      <alignment horizontal="center" vertical="center" wrapText="1" readingOrder="1"/>
    </xf>
    <xf numFmtId="8" fontId="36" fillId="36" borderId="0" xfId="0" applyNumberFormat="1" applyFont="1" applyFill="1" applyProtection="1"/>
    <xf numFmtId="0" fontId="36" fillId="3" borderId="0" xfId="0" applyFont="1" applyFill="1" applyProtection="1"/>
    <xf numFmtId="8" fontId="4" fillId="3" borderId="5" xfId="0" applyNumberFormat="1" applyFont="1" applyFill="1" applyBorder="1" applyAlignment="1" applyProtection="1">
      <alignment horizontal="center" vertical="center" wrapText="1" readingOrder="1"/>
    </xf>
    <xf numFmtId="8" fontId="4" fillId="3" borderId="67" xfId="0" applyNumberFormat="1" applyFont="1" applyFill="1" applyBorder="1" applyAlignment="1" applyProtection="1">
      <alignment horizontal="center" vertical="center" wrapText="1" readingOrder="1"/>
    </xf>
    <xf numFmtId="8" fontId="36" fillId="3" borderId="0" xfId="0" applyNumberFormat="1" applyFont="1" applyFill="1" applyProtection="1"/>
    <xf numFmtId="0" fontId="0" fillId="0" borderId="0" xfId="0" applyAlignment="1" applyProtection="1">
      <alignment horizontal="center" vertical="center" wrapText="1"/>
    </xf>
    <xf numFmtId="0" fontId="36" fillId="32" borderId="0" xfId="4" applyFont="1" applyAlignment="1" applyProtection="1">
      <alignment horizontal="center" vertical="center" wrapText="1"/>
    </xf>
    <xf numFmtId="0" fontId="36" fillId="32" borderId="0" xfId="4" applyFont="1" applyAlignment="1">
      <alignment horizontal="center" vertical="center" wrapText="1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>
      <alignment horizontal="center" vertical="center" wrapText="1"/>
    </xf>
    <xf numFmtId="8" fontId="0" fillId="0" borderId="0" xfId="0" applyNumberFormat="1" applyAlignment="1" applyProtection="1">
      <alignment vertical="center"/>
    </xf>
    <xf numFmtId="167" fontId="0" fillId="0" borderId="0" xfId="0" applyNumberFormat="1" applyAlignment="1">
      <alignment horizontal="center" vertical="center"/>
    </xf>
    <xf numFmtId="167" fontId="36" fillId="35" borderId="0" xfId="0" applyNumberFormat="1" applyFont="1" applyFill="1" applyProtection="1"/>
    <xf numFmtId="167" fontId="36" fillId="36" borderId="0" xfId="0" applyNumberFormat="1" applyFont="1" applyFill="1" applyProtection="1"/>
    <xf numFmtId="167" fontId="36" fillId="3" borderId="0" xfId="0" applyNumberFormat="1" applyFont="1" applyFill="1" applyProtection="1"/>
    <xf numFmtId="167" fontId="37" fillId="33" borderId="0" xfId="0" applyNumberFormat="1" applyFont="1" applyFill="1" applyProtection="1"/>
    <xf numFmtId="0" fontId="38" fillId="0" borderId="0" xfId="0" applyFont="1"/>
    <xf numFmtId="0" fontId="38" fillId="0" borderId="0" xfId="0" applyFont="1" applyAlignment="1">
      <alignment horizontal="center"/>
    </xf>
    <xf numFmtId="166" fontId="38" fillId="0" borderId="0" xfId="0" applyNumberFormat="1" applyFont="1" applyAlignment="1">
      <alignment horizontal="center"/>
    </xf>
    <xf numFmtId="0" fontId="38" fillId="5" borderId="0" xfId="0" applyFont="1" applyFill="1"/>
    <xf numFmtId="8" fontId="36" fillId="34" borderId="0" xfId="0" applyNumberFormat="1" applyFont="1" applyFill="1" applyAlignment="1" applyProtection="1">
      <alignment horizontal="center" vertical="center"/>
    </xf>
    <xf numFmtId="8" fontId="36" fillId="35" borderId="0" xfId="0" applyNumberFormat="1" applyFont="1" applyFill="1" applyAlignment="1" applyProtection="1">
      <alignment horizontal="center" vertical="center"/>
    </xf>
    <xf numFmtId="0" fontId="36" fillId="36" borderId="0" xfId="0" applyFont="1" applyFill="1" applyAlignment="1" applyProtection="1">
      <alignment horizontal="center" vertical="center"/>
    </xf>
    <xf numFmtId="0" fontId="36" fillId="3" borderId="0" xfId="0" applyFont="1" applyFill="1" applyAlignment="1" applyProtection="1">
      <alignment horizontal="center" vertical="center"/>
    </xf>
    <xf numFmtId="0" fontId="37" fillId="33" borderId="0" xfId="0" applyFont="1" applyFill="1" applyAlignment="1" applyProtection="1">
      <alignment horizontal="center" vertical="center"/>
    </xf>
    <xf numFmtId="8" fontId="0" fillId="0" borderId="0" xfId="0" applyNumberFormat="1" applyAlignment="1" applyProtection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50" xfId="0" applyBorder="1" applyProtection="1"/>
    <xf numFmtId="0" fontId="6" fillId="0" borderId="50" xfId="0" applyFont="1" applyBorder="1" applyProtection="1"/>
    <xf numFmtId="0" fontId="0" fillId="0" borderId="0" xfId="0" applyBorder="1" applyProtection="1"/>
    <xf numFmtId="0" fontId="6" fillId="0" borderId="0" xfId="0" applyFont="1" applyBorder="1" applyProtection="1"/>
    <xf numFmtId="0" fontId="0" fillId="0" borderId="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66" xfId="0" applyBorder="1" applyProtection="1"/>
    <xf numFmtId="0" fontId="0" fillId="0" borderId="66" xfId="0" applyBorder="1" applyAlignment="1">
      <alignment horizontal="center" vertical="center"/>
    </xf>
    <xf numFmtId="0" fontId="6" fillId="0" borderId="66" xfId="0" applyFont="1" applyBorder="1" applyProtection="1"/>
    <xf numFmtId="0" fontId="0" fillId="0" borderId="68" xfId="0" applyBorder="1"/>
    <xf numFmtId="0" fontId="0" fillId="0" borderId="69" xfId="0" applyBorder="1"/>
    <xf numFmtId="0" fontId="0" fillId="0" borderId="70" xfId="0" applyBorder="1"/>
    <xf numFmtId="6" fontId="0" fillId="0" borderId="0" xfId="0" applyNumberFormat="1" applyAlignment="1" applyProtection="1">
      <alignment horizontal="center" vertical="center"/>
    </xf>
    <xf numFmtId="2" fontId="0" fillId="0" borderId="0" xfId="0" applyNumberFormat="1" applyProtection="1"/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44" fontId="0" fillId="0" borderId="0" xfId="5" applyFont="1" applyAlignment="1">
      <alignment horizontal="center" vertical="center"/>
    </xf>
    <xf numFmtId="44" fontId="36" fillId="35" borderId="0" xfId="5" applyFont="1" applyFill="1" applyAlignment="1" applyProtection="1">
      <alignment horizontal="center" vertical="center"/>
    </xf>
    <xf numFmtId="44" fontId="36" fillId="35" borderId="0" xfId="5" applyFont="1" applyFill="1" applyProtection="1"/>
    <xf numFmtId="44" fontId="36" fillId="36" borderId="0" xfId="5" applyFont="1" applyFill="1" applyAlignment="1" applyProtection="1">
      <alignment horizontal="center" vertical="center"/>
    </xf>
    <xf numFmtId="44" fontId="36" fillId="36" borderId="0" xfId="5" applyFont="1" applyFill="1" applyProtection="1"/>
    <xf numFmtId="44" fontId="36" fillId="3" borderId="0" xfId="5" applyFont="1" applyFill="1" applyAlignment="1" applyProtection="1">
      <alignment horizontal="center" vertical="center"/>
    </xf>
    <xf numFmtId="44" fontId="36" fillId="3" borderId="0" xfId="5" applyFont="1" applyFill="1" applyProtection="1"/>
    <xf numFmtId="44" fontId="37" fillId="33" borderId="0" xfId="5" applyFont="1" applyFill="1" applyAlignment="1" applyProtection="1">
      <alignment horizontal="center" vertical="center"/>
    </xf>
    <xf numFmtId="44" fontId="37" fillId="33" borderId="0" xfId="5" applyFont="1" applyFill="1" applyProtection="1"/>
    <xf numFmtId="44" fontId="0" fillId="0" borderId="0" xfId="5" applyFont="1" applyAlignment="1" applyProtection="1">
      <alignment horizontal="center" vertical="center"/>
    </xf>
    <xf numFmtId="8" fontId="36" fillId="34" borderId="71" xfId="0" applyNumberFormat="1" applyFont="1" applyFill="1" applyBorder="1" applyProtection="1"/>
    <xf numFmtId="8" fontId="36" fillId="34" borderId="71" xfId="0" applyNumberFormat="1" applyFont="1" applyFill="1" applyBorder="1" applyAlignment="1" applyProtection="1">
      <alignment horizontal="center" vertical="center"/>
    </xf>
    <xf numFmtId="8" fontId="36" fillId="34" borderId="73" xfId="0" applyNumberFormat="1" applyFont="1" applyFill="1" applyBorder="1" applyProtection="1"/>
    <xf numFmtId="0" fontId="0" fillId="16" borderId="72" xfId="0" applyFill="1" applyBorder="1" applyAlignment="1">
      <alignment horizontal="left" vertical="center"/>
    </xf>
    <xf numFmtId="44" fontId="0" fillId="16" borderId="74" xfId="5" applyFont="1" applyFill="1" applyBorder="1" applyAlignment="1">
      <alignment horizontal="center" vertical="center"/>
    </xf>
    <xf numFmtId="0" fontId="0" fillId="16" borderId="76" xfId="0" applyFill="1" applyBorder="1" applyAlignment="1">
      <alignment horizontal="left" vertical="center"/>
    </xf>
    <xf numFmtId="44" fontId="0" fillId="16" borderId="77" xfId="5" applyFont="1" applyFill="1" applyBorder="1" applyAlignment="1">
      <alignment horizontal="center" vertical="center"/>
    </xf>
    <xf numFmtId="0" fontId="0" fillId="0" borderId="79" xfId="0" applyBorder="1" applyAlignment="1">
      <alignment horizontal="left" vertical="center" wrapText="1"/>
    </xf>
    <xf numFmtId="44" fontId="0" fillId="0" borderId="80" xfId="5" applyFont="1" applyBorder="1" applyAlignment="1">
      <alignment horizontal="center" vertical="center"/>
    </xf>
    <xf numFmtId="0" fontId="0" fillId="16" borderId="75" xfId="0" applyFill="1" applyBorder="1" applyAlignment="1">
      <alignment horizontal="left" vertical="center" indent="1"/>
    </xf>
    <xf numFmtId="0" fontId="0" fillId="0" borderId="78" xfId="0" applyBorder="1" applyAlignment="1">
      <alignment horizontal="left" vertical="center" wrapText="1" indent="1"/>
    </xf>
    <xf numFmtId="0" fontId="0" fillId="16" borderId="77" xfId="0" applyFill="1" applyBorder="1" applyAlignment="1" applyProtection="1">
      <alignment horizontal="left" vertical="center" indent="1"/>
    </xf>
    <xf numFmtId="0" fontId="0" fillId="0" borderId="80" xfId="0" applyBorder="1" applyAlignment="1" applyProtection="1">
      <alignment horizontal="left" vertical="center" wrapText="1" indent="1"/>
    </xf>
    <xf numFmtId="0" fontId="0" fillId="16" borderId="74" xfId="0" applyFill="1" applyBorder="1" applyAlignment="1" applyProtection="1">
      <alignment horizontal="left" vertical="center" wrapText="1" indent="1"/>
    </xf>
    <xf numFmtId="0" fontId="0" fillId="16" borderId="76" xfId="0" applyFill="1" applyBorder="1" applyAlignment="1" applyProtection="1">
      <alignment horizontal="left" vertical="center" indent="1"/>
    </xf>
    <xf numFmtId="0" fontId="0" fillId="0" borderId="79" xfId="0" applyBorder="1" applyAlignment="1" applyProtection="1">
      <alignment horizontal="left" vertical="center" wrapText="1" indent="1"/>
    </xf>
    <xf numFmtId="0" fontId="0" fillId="16" borderId="72" xfId="0" applyFill="1" applyBorder="1" applyAlignment="1" applyProtection="1">
      <alignment horizontal="left" vertical="center" indent="1"/>
    </xf>
    <xf numFmtId="0" fontId="0" fillId="0" borderId="79" xfId="0" applyFill="1" applyBorder="1" applyAlignment="1">
      <alignment horizontal="left" vertical="center"/>
    </xf>
    <xf numFmtId="0" fontId="0" fillId="16" borderId="76" xfId="0" applyFill="1" applyBorder="1" applyAlignment="1" applyProtection="1">
      <alignment horizontal="left" vertical="center" wrapText="1" indent="1"/>
    </xf>
    <xf numFmtId="0" fontId="0" fillId="16" borderId="75" xfId="0" applyFill="1" applyBorder="1" applyAlignment="1">
      <alignment horizontal="left" vertical="center" wrapText="1" indent="1"/>
    </xf>
    <xf numFmtId="0" fontId="0" fillId="16" borderId="77" xfId="0" applyFill="1" applyBorder="1" applyAlignment="1" applyProtection="1">
      <alignment horizontal="left" vertical="center" wrapText="1" indent="1"/>
    </xf>
    <xf numFmtId="0" fontId="36" fillId="32" borderId="81" xfId="4" applyFont="1" applyBorder="1" applyAlignment="1" applyProtection="1">
      <alignment horizontal="center" vertical="center" wrapText="1"/>
    </xf>
    <xf numFmtId="0" fontId="36" fillId="32" borderId="82" xfId="4" applyFont="1" applyBorder="1" applyAlignment="1" applyProtection="1">
      <alignment horizontal="center" vertical="center" wrapText="1"/>
    </xf>
    <xf numFmtId="0" fontId="36" fillId="32" borderId="85" xfId="4" applyFont="1" applyBorder="1" applyAlignment="1">
      <alignment horizontal="center" vertical="center" wrapText="1"/>
    </xf>
    <xf numFmtId="0" fontId="36" fillId="32" borderId="86" xfId="4" applyFont="1" applyBorder="1" applyAlignment="1">
      <alignment horizontal="center" vertical="center" wrapText="1"/>
    </xf>
    <xf numFmtId="0" fontId="36" fillId="34" borderId="87" xfId="0" applyFont="1" applyFill="1" applyBorder="1" applyProtection="1"/>
    <xf numFmtId="8" fontId="36" fillId="34" borderId="0" xfId="0" applyNumberFormat="1" applyFont="1" applyFill="1" applyBorder="1" applyProtection="1"/>
    <xf numFmtId="8" fontId="36" fillId="34" borderId="88" xfId="0" applyNumberFormat="1" applyFont="1" applyFill="1" applyBorder="1" applyProtection="1"/>
    <xf numFmtId="44" fontId="0" fillId="16" borderId="90" xfId="5" applyFont="1" applyFill="1" applyBorder="1" applyAlignment="1">
      <alignment horizontal="center" vertical="center"/>
    </xf>
    <xf numFmtId="44" fontId="0" fillId="0" borderId="92" xfId="5" applyFont="1" applyBorder="1" applyAlignment="1">
      <alignment horizontal="center" vertical="center"/>
    </xf>
    <xf numFmtId="0" fontId="0" fillId="16" borderId="0" xfId="0" applyFill="1" applyBorder="1" applyAlignment="1">
      <alignment horizontal="left" vertical="center" indent="1"/>
    </xf>
    <xf numFmtId="44" fontId="0" fillId="16" borderId="94" xfId="5" applyFont="1" applyFill="1" applyBorder="1" applyAlignment="1">
      <alignment horizontal="center" vertical="center"/>
    </xf>
    <xf numFmtId="0" fontId="36" fillId="35" borderId="95" xfId="0" applyFont="1" applyFill="1" applyBorder="1" applyProtection="1"/>
    <xf numFmtId="8" fontId="36" fillId="35" borderId="0" xfId="0" applyNumberFormat="1" applyFont="1" applyFill="1" applyBorder="1" applyAlignment="1" applyProtection="1">
      <alignment horizontal="left" indent="1"/>
    </xf>
    <xf numFmtId="8" fontId="36" fillId="35" borderId="0" xfId="0" applyNumberFormat="1" applyFont="1" applyFill="1" applyBorder="1" applyAlignment="1" applyProtection="1"/>
    <xf numFmtId="44" fontId="36" fillId="35" borderId="0" xfId="5" applyFont="1" applyFill="1" applyBorder="1" applyAlignment="1" applyProtection="1">
      <alignment horizontal="center" vertical="center"/>
    </xf>
    <xf numFmtId="44" fontId="36" fillId="35" borderId="94" xfId="5" applyFont="1" applyFill="1" applyBorder="1" applyProtection="1"/>
    <xf numFmtId="0" fontId="36" fillId="36" borderId="95" xfId="0" applyFont="1" applyFill="1" applyBorder="1" applyProtection="1"/>
    <xf numFmtId="0" fontId="36" fillId="36" borderId="0" xfId="0" applyFont="1" applyFill="1" applyBorder="1" applyAlignment="1" applyProtection="1"/>
    <xf numFmtId="44" fontId="36" fillId="36" borderId="0" xfId="5" applyFont="1" applyFill="1" applyBorder="1" applyAlignment="1" applyProtection="1">
      <alignment horizontal="center" vertical="center"/>
    </xf>
    <xf numFmtId="44" fontId="36" fillId="36" borderId="94" xfId="5" applyFont="1" applyFill="1" applyBorder="1" applyProtection="1"/>
    <xf numFmtId="0" fontId="36" fillId="3" borderId="95" xfId="0" applyFont="1" applyFill="1" applyBorder="1" applyProtection="1"/>
    <xf numFmtId="0" fontId="36" fillId="3" borderId="0" xfId="0" applyFont="1" applyFill="1" applyBorder="1" applyAlignment="1" applyProtection="1"/>
    <xf numFmtId="44" fontId="36" fillId="3" borderId="0" xfId="5" applyFont="1" applyFill="1" applyBorder="1" applyAlignment="1" applyProtection="1">
      <alignment horizontal="center" vertical="center"/>
    </xf>
    <xf numFmtId="44" fontId="36" fillId="3" borderId="94" xfId="5" applyFont="1" applyFill="1" applyBorder="1" applyProtection="1"/>
    <xf numFmtId="0" fontId="36" fillId="33" borderId="95" xfId="0" applyFont="1" applyFill="1" applyBorder="1"/>
    <xf numFmtId="0" fontId="37" fillId="33" borderId="0" xfId="0" applyFont="1" applyFill="1" applyBorder="1" applyAlignment="1" applyProtection="1"/>
    <xf numFmtId="44" fontId="37" fillId="33" borderId="0" xfId="5" applyFont="1" applyFill="1" applyBorder="1" applyAlignment="1" applyProtection="1">
      <alignment horizontal="center" vertical="center"/>
    </xf>
    <xf numFmtId="44" fontId="37" fillId="33" borderId="94" xfId="5" applyFont="1" applyFill="1" applyBorder="1" applyProtection="1"/>
    <xf numFmtId="0" fontId="0" fillId="0" borderId="97" xfId="0" applyBorder="1" applyAlignment="1" applyProtection="1">
      <alignment horizontal="left" vertical="center" wrapText="1" indent="1"/>
    </xf>
    <xf numFmtId="0" fontId="0" fillId="0" borderId="98" xfId="0" applyBorder="1" applyAlignment="1" applyProtection="1">
      <alignment horizontal="left" vertical="center" wrapText="1" indent="1"/>
    </xf>
    <xf numFmtId="0" fontId="0" fillId="0" borderId="99" xfId="0" applyBorder="1" applyAlignment="1">
      <alignment horizontal="left" vertical="center" wrapText="1" indent="1"/>
    </xf>
    <xf numFmtId="0" fontId="0" fillId="0" borderId="97" xfId="0" applyBorder="1" applyAlignment="1">
      <alignment horizontal="left" vertical="center" wrapText="1"/>
    </xf>
    <xf numFmtId="44" fontId="0" fillId="0" borderId="98" xfId="5" applyFont="1" applyBorder="1" applyAlignment="1">
      <alignment horizontal="center" vertical="center"/>
    </xf>
    <xf numFmtId="44" fontId="0" fillId="0" borderId="100" xfId="5" applyFont="1" applyBorder="1" applyAlignment="1">
      <alignment horizontal="center" vertical="center"/>
    </xf>
    <xf numFmtId="0" fontId="0" fillId="16" borderId="89" xfId="0" applyFill="1" applyBorder="1" applyAlignment="1" applyProtection="1">
      <alignment horizontal="left" vertical="center" indent="1"/>
    </xf>
    <xf numFmtId="0" fontId="0" fillId="0" borderId="91" xfId="0" applyBorder="1" applyAlignment="1" applyProtection="1">
      <alignment horizontal="left" vertical="center" indent="1"/>
    </xf>
    <xf numFmtId="0" fontId="0" fillId="16" borderId="93" xfId="0" applyFill="1" applyBorder="1" applyAlignment="1" applyProtection="1">
      <alignment horizontal="left" vertical="center" indent="1"/>
    </xf>
    <xf numFmtId="0" fontId="0" fillId="16" borderId="89" xfId="0" applyFill="1" applyBorder="1" applyAlignment="1" applyProtection="1">
      <alignment horizontal="left" vertical="center" wrapText="1" indent="1"/>
    </xf>
    <xf numFmtId="0" fontId="0" fillId="0" borderId="91" xfId="0" applyBorder="1" applyAlignment="1" applyProtection="1">
      <alignment horizontal="left" vertical="center" wrapText="1" indent="1"/>
    </xf>
    <xf numFmtId="0" fontId="0" fillId="0" borderId="96" xfId="0" applyBorder="1" applyAlignment="1" applyProtection="1">
      <alignment horizontal="left" vertical="center" wrapText="1" indent="1"/>
    </xf>
    <xf numFmtId="0" fontId="36" fillId="32" borderId="101" xfId="4" applyFont="1" applyBorder="1" applyAlignment="1" applyProtection="1">
      <alignment horizontal="center" vertical="center" wrapText="1"/>
    </xf>
    <xf numFmtId="0" fontId="36" fillId="32" borderId="102" xfId="4" applyFont="1" applyBorder="1" applyAlignment="1" applyProtection="1">
      <alignment horizontal="center" vertical="center" wrapText="1"/>
    </xf>
    <xf numFmtId="0" fontId="36" fillId="32" borderId="103" xfId="4" applyFont="1" applyBorder="1" applyAlignment="1" applyProtection="1">
      <alignment horizontal="center" vertical="center" wrapText="1"/>
    </xf>
    <xf numFmtId="0" fontId="0" fillId="0" borderId="79" xfId="0" applyBorder="1" applyAlignment="1" applyProtection="1">
      <alignment horizontal="center" vertical="center" wrapText="1"/>
    </xf>
    <xf numFmtId="0" fontId="0" fillId="0" borderId="80" xfId="0" applyBorder="1" applyAlignment="1" applyProtection="1">
      <alignment horizontal="center" vertical="center" wrapText="1"/>
    </xf>
    <xf numFmtId="0" fontId="0" fillId="0" borderId="78" xfId="0" applyBorder="1" applyAlignment="1">
      <alignment horizontal="center" vertical="center" wrapText="1"/>
    </xf>
    <xf numFmtId="0" fontId="0" fillId="16" borderId="76" xfId="0" applyFill="1" applyBorder="1" applyAlignment="1" applyProtection="1">
      <alignment horizontal="center" vertical="center"/>
    </xf>
    <xf numFmtId="0" fontId="0" fillId="16" borderId="77" xfId="0" applyFill="1" applyBorder="1" applyAlignment="1" applyProtection="1">
      <alignment horizontal="center" vertical="center"/>
    </xf>
    <xf numFmtId="0" fontId="0" fillId="16" borderId="75" xfId="0" applyFill="1" applyBorder="1" applyAlignment="1">
      <alignment horizontal="center" vertical="center"/>
    </xf>
    <xf numFmtId="44" fontId="0" fillId="0" borderId="80" xfId="5" applyFont="1" applyBorder="1" applyAlignment="1" applyProtection="1">
      <alignment horizontal="center" vertical="center" wrapText="1"/>
    </xf>
    <xf numFmtId="44" fontId="0" fillId="16" borderId="77" xfId="5" applyFont="1" applyFill="1" applyBorder="1" applyAlignment="1" applyProtection="1">
      <alignment horizontal="center" vertical="center"/>
    </xf>
    <xf numFmtId="0" fontId="42" fillId="25" borderId="0" xfId="4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4" fontId="0" fillId="16" borderId="75" xfId="5" applyFont="1" applyFill="1" applyBorder="1" applyAlignment="1">
      <alignment horizontal="center" vertical="center"/>
    </xf>
    <xf numFmtId="44" fontId="0" fillId="16" borderId="0" xfId="5" applyFont="1" applyFill="1" applyBorder="1" applyAlignment="1">
      <alignment horizontal="center" vertical="center"/>
    </xf>
    <xf numFmtId="44" fontId="0" fillId="0" borderId="78" xfId="5" applyFont="1" applyBorder="1" applyAlignment="1">
      <alignment horizontal="center" vertical="center"/>
    </xf>
    <xf numFmtId="44" fontId="0" fillId="37" borderId="0" xfId="5" applyFont="1" applyFill="1" applyBorder="1" applyAlignment="1">
      <alignment horizontal="center" vertical="center"/>
    </xf>
    <xf numFmtId="44" fontId="36" fillId="37" borderId="0" xfId="5" applyFont="1" applyFill="1" applyBorder="1" applyProtection="1"/>
    <xf numFmtId="44" fontId="37" fillId="37" borderId="0" xfId="5" applyFont="1" applyFill="1" applyBorder="1" applyProtection="1"/>
    <xf numFmtId="0" fontId="36" fillId="37" borderId="0" xfId="4" applyFont="1" applyFill="1" applyBorder="1" applyAlignment="1">
      <alignment horizontal="center" vertical="center" wrapText="1"/>
    </xf>
    <xf numFmtId="8" fontId="36" fillId="37" borderId="0" xfId="0" applyNumberFormat="1" applyFont="1" applyFill="1" applyBorder="1" applyProtection="1"/>
    <xf numFmtId="44" fontId="0" fillId="0" borderId="106" xfId="5" applyFont="1" applyBorder="1" applyAlignment="1">
      <alignment horizontal="center" vertical="center"/>
    </xf>
    <xf numFmtId="44" fontId="0" fillId="16" borderId="108" xfId="5" applyFont="1" applyFill="1" applyBorder="1" applyAlignment="1">
      <alignment horizontal="center" vertical="center"/>
    </xf>
    <xf numFmtId="44" fontId="0" fillId="16" borderId="109" xfId="5" applyFont="1" applyFill="1" applyBorder="1" applyAlignment="1">
      <alignment horizontal="center" vertical="center"/>
    </xf>
    <xf numFmtId="44" fontId="36" fillId="36" borderId="2" xfId="5" applyFont="1" applyFill="1" applyBorder="1" applyAlignment="1" applyProtection="1">
      <alignment horizontal="center" vertical="center"/>
    </xf>
    <xf numFmtId="44" fontId="36" fillId="36" borderId="8" xfId="5" applyFont="1" applyFill="1" applyBorder="1" applyAlignment="1" applyProtection="1">
      <alignment horizontal="center" vertical="center"/>
    </xf>
    <xf numFmtId="44" fontId="36" fillId="36" borderId="3" xfId="5" applyFont="1" applyFill="1" applyBorder="1" applyAlignment="1" applyProtection="1">
      <alignment horizontal="center" vertical="center"/>
    </xf>
    <xf numFmtId="0" fontId="36" fillId="36" borderId="8" xfId="0" applyFont="1" applyFill="1" applyBorder="1" applyAlignment="1" applyProtection="1"/>
    <xf numFmtId="44" fontId="36" fillId="36" borderId="3" xfId="5" applyFont="1" applyFill="1" applyBorder="1" applyProtection="1"/>
    <xf numFmtId="8" fontId="36" fillId="35" borderId="8" xfId="0" applyNumberFormat="1" applyFont="1" applyFill="1" applyBorder="1" applyAlignment="1" applyProtection="1">
      <alignment horizontal="left" indent="1"/>
    </xf>
    <xf numFmtId="8" fontId="36" fillId="35" borderId="8" xfId="0" applyNumberFormat="1" applyFont="1" applyFill="1" applyBorder="1" applyAlignment="1" applyProtection="1"/>
    <xf numFmtId="44" fontId="36" fillId="35" borderId="8" xfId="5" applyFont="1" applyFill="1" applyBorder="1" applyAlignment="1" applyProtection="1">
      <alignment horizontal="center" vertical="center"/>
    </xf>
    <xf numFmtId="44" fontId="36" fillId="35" borderId="3" xfId="5" applyFont="1" applyFill="1" applyBorder="1" applyProtection="1"/>
    <xf numFmtId="8" fontId="36" fillId="34" borderId="8" xfId="0" applyNumberFormat="1" applyFont="1" applyFill="1" applyBorder="1" applyProtection="1"/>
    <xf numFmtId="8" fontId="36" fillId="34" borderId="8" xfId="0" applyNumberFormat="1" applyFont="1" applyFill="1" applyBorder="1" applyAlignment="1" applyProtection="1">
      <alignment horizontal="center" vertical="center"/>
    </xf>
    <xf numFmtId="8" fontId="36" fillId="34" borderId="3" xfId="0" applyNumberFormat="1" applyFont="1" applyFill="1" applyBorder="1" applyProtection="1"/>
    <xf numFmtId="44" fontId="0" fillId="16" borderId="110" xfId="5" applyFont="1" applyFill="1" applyBorder="1" applyAlignment="1">
      <alignment horizontal="center" vertical="center"/>
    </xf>
    <xf numFmtId="44" fontId="36" fillId="35" borderId="2" xfId="5" applyFont="1" applyFill="1" applyBorder="1" applyAlignment="1" applyProtection="1">
      <alignment horizontal="center" vertical="center"/>
    </xf>
    <xf numFmtId="44" fontId="36" fillId="35" borderId="3" xfId="5" applyFont="1" applyFill="1" applyBorder="1" applyAlignment="1" applyProtection="1">
      <alignment horizontal="center" vertical="center"/>
    </xf>
    <xf numFmtId="8" fontId="36" fillId="34" borderId="2" xfId="0" applyNumberFormat="1" applyFont="1" applyFill="1" applyBorder="1" applyAlignment="1" applyProtection="1">
      <alignment horizontal="center" vertical="center"/>
    </xf>
    <xf numFmtId="8" fontId="36" fillId="34" borderId="3" xfId="0" applyNumberFormat="1" applyFont="1" applyFill="1" applyBorder="1" applyAlignment="1" applyProtection="1">
      <alignment horizontal="center" vertical="center"/>
    </xf>
    <xf numFmtId="0" fontId="42" fillId="25" borderId="2" xfId="4" applyFont="1" applyFill="1" applyBorder="1" applyAlignment="1">
      <alignment horizontal="center" vertical="center" wrapText="1"/>
    </xf>
    <xf numFmtId="0" fontId="36" fillId="32" borderId="2" xfId="4" applyFont="1" applyBorder="1" applyAlignment="1" applyProtection="1">
      <alignment horizontal="center" vertical="center" wrapText="1"/>
    </xf>
    <xf numFmtId="0" fontId="36" fillId="32" borderId="42" xfId="4" applyFont="1" applyBorder="1" applyAlignment="1">
      <alignment horizontal="center" vertical="center" wrapText="1"/>
    </xf>
    <xf numFmtId="0" fontId="36" fillId="32" borderId="112" xfId="4" applyFont="1" applyBorder="1" applyAlignment="1">
      <alignment horizontal="center" vertical="center" wrapText="1"/>
    </xf>
    <xf numFmtId="0" fontId="36" fillId="32" borderId="112" xfId="4" applyFont="1" applyBorder="1" applyAlignment="1" applyProtection="1">
      <alignment horizontal="center" vertical="center" wrapText="1"/>
    </xf>
    <xf numFmtId="0" fontId="0" fillId="16" borderId="74" xfId="0" applyFill="1" applyBorder="1" applyAlignment="1" applyProtection="1">
      <alignment horizontal="left" vertical="center" indent="1"/>
    </xf>
    <xf numFmtId="0" fontId="36" fillId="3" borderId="8" xfId="0" applyFont="1" applyFill="1" applyBorder="1" applyAlignment="1" applyProtection="1"/>
    <xf numFmtId="44" fontId="36" fillId="3" borderId="8" xfId="5" applyFont="1" applyFill="1" applyBorder="1" applyAlignment="1" applyProtection="1">
      <alignment horizontal="center" vertical="center"/>
    </xf>
    <xf numFmtId="44" fontId="36" fillId="3" borderId="3" xfId="5" applyFont="1" applyFill="1" applyBorder="1" applyProtection="1"/>
    <xf numFmtId="44" fontId="36" fillId="3" borderId="2" xfId="5" applyFont="1" applyFill="1" applyBorder="1" applyAlignment="1" applyProtection="1">
      <alignment horizontal="center" vertical="center"/>
    </xf>
    <xf numFmtId="44" fontId="36" fillId="3" borderId="3" xfId="5" applyFont="1" applyFill="1" applyBorder="1" applyAlignment="1" applyProtection="1">
      <alignment horizontal="center" vertical="center"/>
    </xf>
    <xf numFmtId="0" fontId="36" fillId="33" borderId="2" xfId="0" applyFont="1" applyFill="1" applyBorder="1"/>
    <xf numFmtId="0" fontId="37" fillId="33" borderId="8" xfId="0" applyFont="1" applyFill="1" applyBorder="1" applyAlignment="1" applyProtection="1"/>
    <xf numFmtId="44" fontId="37" fillId="33" borderId="8" xfId="5" applyFont="1" applyFill="1" applyBorder="1" applyAlignment="1" applyProtection="1">
      <alignment horizontal="center" vertical="center"/>
    </xf>
    <xf numFmtId="44" fontId="37" fillId="33" borderId="3" xfId="5" applyFont="1" applyFill="1" applyBorder="1" applyProtection="1"/>
    <xf numFmtId="44" fontId="37" fillId="33" borderId="2" xfId="5" applyFont="1" applyFill="1" applyBorder="1" applyAlignment="1" applyProtection="1">
      <alignment horizontal="center" vertical="center"/>
    </xf>
    <xf numFmtId="44" fontId="37" fillId="33" borderId="3" xfId="5" applyFont="1" applyFill="1" applyBorder="1" applyAlignment="1" applyProtection="1">
      <alignment horizontal="center" vertical="center"/>
    </xf>
    <xf numFmtId="44" fontId="0" fillId="0" borderId="116" xfId="5" applyFont="1" applyBorder="1" applyAlignment="1">
      <alignment horizontal="center" vertical="center"/>
    </xf>
    <xf numFmtId="0" fontId="0" fillId="0" borderId="115" xfId="0" applyBorder="1" applyAlignment="1" applyProtection="1">
      <alignment horizontal="left" vertical="center" indent="1"/>
    </xf>
    <xf numFmtId="0" fontId="0" fillId="0" borderId="117" xfId="0" applyBorder="1" applyAlignment="1" applyProtection="1">
      <alignment horizontal="left" vertical="center" wrapText="1" indent="1"/>
    </xf>
    <xf numFmtId="0" fontId="0" fillId="0" borderId="116" xfId="0" applyBorder="1" applyAlignment="1" applyProtection="1">
      <alignment horizontal="left" vertical="center" wrapText="1" indent="1"/>
    </xf>
    <xf numFmtId="0" fontId="0" fillId="0" borderId="114" xfId="0" applyBorder="1" applyAlignment="1">
      <alignment horizontal="left" vertical="center" wrapText="1" indent="1"/>
    </xf>
    <xf numFmtId="0" fontId="0" fillId="0" borderId="117" xfId="0" applyBorder="1" applyAlignment="1">
      <alignment horizontal="left" vertical="center" wrapText="1"/>
    </xf>
    <xf numFmtId="44" fontId="0" fillId="0" borderId="118" xfId="5" applyFont="1" applyBorder="1" applyAlignment="1">
      <alignment horizontal="center" vertical="center"/>
    </xf>
    <xf numFmtId="0" fontId="0" fillId="16" borderId="107" xfId="0" applyFill="1" applyBorder="1" applyAlignment="1" applyProtection="1">
      <alignment horizontal="left" vertical="center" indent="1"/>
    </xf>
    <xf numFmtId="0" fontId="0" fillId="0" borderId="105" xfId="0" applyBorder="1" applyAlignment="1" applyProtection="1">
      <alignment horizontal="left" vertical="center" indent="1"/>
    </xf>
    <xf numFmtId="44" fontId="0" fillId="0" borderId="119" xfId="5" applyFont="1" applyBorder="1" applyAlignment="1">
      <alignment horizontal="center" vertical="center"/>
    </xf>
    <xf numFmtId="44" fontId="0" fillId="16" borderId="116" xfId="5" applyFont="1" applyFill="1" applyBorder="1" applyAlignment="1">
      <alignment horizontal="center" vertical="center"/>
    </xf>
    <xf numFmtId="0" fontId="0" fillId="16" borderId="115" xfId="0" applyFill="1" applyBorder="1" applyAlignment="1" applyProtection="1">
      <alignment horizontal="left" vertical="center" wrapText="1" indent="1"/>
    </xf>
    <xf numFmtId="0" fontId="0" fillId="16" borderId="117" xfId="0" applyFill="1" applyBorder="1" applyAlignment="1" applyProtection="1">
      <alignment horizontal="left" vertical="center" indent="1"/>
    </xf>
    <xf numFmtId="0" fontId="0" fillId="16" borderId="116" xfId="0" applyFill="1" applyBorder="1" applyAlignment="1" applyProtection="1">
      <alignment horizontal="left" vertical="center" indent="1"/>
    </xf>
    <xf numFmtId="0" fontId="0" fillId="16" borderId="114" xfId="0" applyFill="1" applyBorder="1" applyAlignment="1">
      <alignment horizontal="left" vertical="center" indent="1"/>
    </xf>
    <xf numFmtId="0" fontId="0" fillId="16" borderId="117" xfId="0" applyFill="1" applyBorder="1" applyAlignment="1">
      <alignment horizontal="left" vertical="center"/>
    </xf>
    <xf numFmtId="44" fontId="0" fillId="16" borderId="118" xfId="5" applyFont="1" applyFill="1" applyBorder="1" applyAlignment="1">
      <alignment horizontal="center" vertical="center"/>
    </xf>
    <xf numFmtId="0" fontId="0" fillId="0" borderId="105" xfId="0" applyBorder="1" applyAlignment="1" applyProtection="1">
      <alignment horizontal="left" vertical="center" wrapText="1" indent="1"/>
    </xf>
    <xf numFmtId="0" fontId="0" fillId="16" borderId="107" xfId="0" applyFill="1" applyBorder="1" applyAlignment="1" applyProtection="1">
      <alignment horizontal="left" vertical="center" wrapText="1" indent="1"/>
    </xf>
    <xf numFmtId="44" fontId="0" fillId="0" borderId="120" xfId="5" applyFont="1" applyBorder="1" applyAlignment="1">
      <alignment horizontal="center" vertical="center"/>
    </xf>
    <xf numFmtId="44" fontId="0" fillId="16" borderId="122" xfId="5" applyFont="1" applyFill="1" applyBorder="1" applyAlignment="1">
      <alignment horizontal="center" vertical="center"/>
    </xf>
    <xf numFmtId="0" fontId="0" fillId="16" borderId="121" xfId="5" applyNumberFormat="1" applyFont="1" applyFill="1" applyBorder="1" applyAlignment="1">
      <alignment horizontal="center" vertical="center"/>
    </xf>
    <xf numFmtId="0" fontId="42" fillId="25" borderId="0" xfId="4" applyFont="1" applyFill="1" applyBorder="1" applyAlignment="1">
      <alignment horizontal="left" vertical="center" wrapText="1"/>
    </xf>
    <xf numFmtId="0" fontId="42" fillId="38" borderId="44" xfId="4" applyFont="1" applyFill="1" applyBorder="1" applyAlignment="1">
      <alignment horizontal="center" vertical="center" wrapText="1"/>
    </xf>
    <xf numFmtId="0" fontId="42" fillId="38" borderId="3" xfId="4" applyFont="1" applyFill="1" applyBorder="1" applyAlignment="1">
      <alignment horizontal="center" vertical="center" wrapText="1"/>
    </xf>
    <xf numFmtId="43" fontId="0" fillId="38" borderId="123" xfId="6" applyFont="1" applyFill="1" applyBorder="1" applyAlignment="1">
      <alignment horizontal="center" vertical="center"/>
    </xf>
    <xf numFmtId="43" fontId="0" fillId="38" borderId="124" xfId="6" applyFont="1" applyFill="1" applyBorder="1" applyAlignment="1">
      <alignment horizontal="center" vertical="center"/>
    </xf>
    <xf numFmtId="44" fontId="0" fillId="0" borderId="0" xfId="0" applyNumberFormat="1"/>
    <xf numFmtId="0" fontId="0" fillId="0" borderId="2" xfId="0" applyBorder="1"/>
    <xf numFmtId="44" fontId="0" fillId="0" borderId="3" xfId="0" applyNumberFormat="1" applyBorder="1"/>
    <xf numFmtId="0" fontId="0" fillId="0" borderId="23" xfId="0" applyBorder="1"/>
    <xf numFmtId="9" fontId="0" fillId="0" borderId="44" xfId="7" applyFont="1" applyBorder="1"/>
    <xf numFmtId="44" fontId="0" fillId="0" borderId="64" xfId="0" applyNumberFormat="1" applyBorder="1"/>
    <xf numFmtId="44" fontId="0" fillId="0" borderId="44" xfId="0" applyNumberFormat="1" applyBorder="1"/>
    <xf numFmtId="44" fontId="0" fillId="0" borderId="9" xfId="0" applyNumberFormat="1" applyBorder="1"/>
    <xf numFmtId="0" fontId="11" fillId="0" borderId="0" xfId="0" applyFont="1" applyBorder="1"/>
    <xf numFmtId="0" fontId="44" fillId="0" borderId="0" xfId="0" applyFont="1" applyBorder="1"/>
    <xf numFmtId="44" fontId="11" fillId="39" borderId="0" xfId="5" applyFont="1" applyFill="1" applyBorder="1"/>
    <xf numFmtId="0" fontId="11" fillId="39" borderId="0" xfId="0" applyFont="1" applyFill="1" applyBorder="1"/>
    <xf numFmtId="168" fontId="11" fillId="15" borderId="0" xfId="0" applyNumberFormat="1" applyFont="1" applyFill="1" applyBorder="1"/>
    <xf numFmtId="0" fontId="44" fillId="16" borderId="0" xfId="0" applyFont="1" applyFill="1" applyBorder="1" applyAlignment="1">
      <alignment horizontal="center"/>
    </xf>
    <xf numFmtId="2" fontId="11" fillId="26" borderId="0" xfId="0" applyNumberFormat="1" applyFont="1" applyFill="1" applyBorder="1"/>
    <xf numFmtId="169" fontId="11" fillId="40" borderId="0" xfId="0" applyNumberFormat="1" applyFont="1" applyFill="1" applyBorder="1"/>
    <xf numFmtId="170" fontId="11" fillId="27" borderId="0" xfId="6" applyNumberFormat="1" applyFont="1" applyFill="1" applyBorder="1"/>
    <xf numFmtId="171" fontId="11" fillId="0" borderId="0" xfId="0" applyNumberFormat="1" applyFont="1" applyBorder="1"/>
    <xf numFmtId="172" fontId="45" fillId="0" borderId="0" xfId="7" applyNumberFormat="1" applyFont="1" applyBorder="1"/>
    <xf numFmtId="173" fontId="45" fillId="0" borderId="0" xfId="7" applyNumberFormat="1" applyFont="1" applyBorder="1"/>
    <xf numFmtId="168" fontId="46" fillId="0" borderId="0" xfId="6" applyNumberFormat="1" applyFont="1" applyFill="1" applyBorder="1" applyAlignment="1">
      <alignment horizontal="left" vertical="center" wrapText="1" readingOrder="1"/>
    </xf>
    <xf numFmtId="0" fontId="46" fillId="0" borderId="0" xfId="0" applyFont="1" applyFill="1" applyBorder="1" applyAlignment="1">
      <alignment horizontal="left" vertical="center" wrapText="1" readingOrder="1"/>
    </xf>
    <xf numFmtId="43" fontId="11" fillId="10" borderId="0" xfId="0" applyNumberFormat="1" applyFont="1" applyFill="1" applyBorder="1"/>
    <xf numFmtId="0" fontId="0" fillId="41" borderId="0" xfId="0" applyFill="1" applyAlignment="1">
      <alignment horizontal="center" vertical="center" wrapText="1"/>
    </xf>
    <xf numFmtId="169" fontId="11" fillId="39" borderId="0" xfId="0" applyNumberFormat="1" applyFont="1" applyFill="1" applyBorder="1"/>
    <xf numFmtId="0" fontId="42" fillId="25" borderId="42" xfId="4" applyFont="1" applyFill="1" applyBorder="1" applyAlignment="1">
      <alignment horizontal="center" vertical="center" wrapText="1"/>
    </xf>
    <xf numFmtId="0" fontId="42" fillId="27" borderId="2" xfId="4" applyFont="1" applyFill="1" applyBorder="1" applyAlignment="1">
      <alignment horizontal="center" vertical="center" wrapText="1"/>
    </xf>
    <xf numFmtId="0" fontId="42" fillId="27" borderId="42" xfId="4" applyFont="1" applyFill="1" applyBorder="1" applyAlignment="1">
      <alignment horizontal="center" vertical="center" wrapText="1"/>
    </xf>
    <xf numFmtId="0" fontId="42" fillId="38" borderId="50" xfId="4" applyFont="1" applyFill="1" applyBorder="1" applyAlignment="1">
      <alignment horizontal="center" vertical="center" wrapText="1"/>
    </xf>
    <xf numFmtId="44" fontId="0" fillId="16" borderId="76" xfId="5" applyFont="1" applyFill="1" applyBorder="1" applyAlignment="1">
      <alignment horizontal="center" vertical="center"/>
    </xf>
    <xf numFmtId="44" fontId="0" fillId="0" borderId="79" xfId="5" applyFont="1" applyBorder="1" applyAlignment="1">
      <alignment horizontal="center" vertical="center"/>
    </xf>
    <xf numFmtId="8" fontId="36" fillId="34" borderId="3" xfId="0" applyNumberFormat="1" applyFont="1" applyFill="1" applyBorder="1" applyAlignment="1" applyProtection="1">
      <alignment wrapText="1"/>
    </xf>
    <xf numFmtId="43" fontId="0" fillId="38" borderId="125" xfId="6" applyFont="1" applyFill="1" applyBorder="1" applyAlignment="1">
      <alignment horizontal="center" vertical="center"/>
    </xf>
    <xf numFmtId="44" fontId="0" fillId="38" borderId="126" xfId="5" applyFont="1" applyFill="1" applyBorder="1" applyAlignment="1">
      <alignment horizontal="center" vertical="center" wrapText="1"/>
    </xf>
    <xf numFmtId="44" fontId="0" fillId="38" borderId="127" xfId="5" applyFont="1" applyFill="1" applyBorder="1" applyAlignment="1">
      <alignment horizontal="center" vertical="center" wrapText="1"/>
    </xf>
    <xf numFmtId="43" fontId="0" fillId="38" borderId="128" xfId="6" applyFont="1" applyFill="1" applyBorder="1" applyAlignment="1">
      <alignment horizontal="center" vertical="center"/>
    </xf>
    <xf numFmtId="44" fontId="0" fillId="38" borderId="129" xfId="5" applyFont="1" applyFill="1" applyBorder="1" applyAlignment="1">
      <alignment horizontal="center" vertical="center" wrapText="1"/>
    </xf>
    <xf numFmtId="44" fontId="36" fillId="35" borderId="3" xfId="5" applyFont="1" applyFill="1" applyBorder="1" applyAlignment="1" applyProtection="1">
      <alignment wrapText="1"/>
    </xf>
    <xf numFmtId="43" fontId="0" fillId="38" borderId="130" xfId="6" applyFont="1" applyFill="1" applyBorder="1" applyAlignment="1">
      <alignment horizontal="center" vertical="center"/>
    </xf>
    <xf numFmtId="44" fontId="0" fillId="38" borderId="131" xfId="5" applyFont="1" applyFill="1" applyBorder="1" applyAlignment="1">
      <alignment horizontal="center" vertical="center" wrapText="1"/>
    </xf>
    <xf numFmtId="44" fontId="0" fillId="38" borderId="132" xfId="5" applyFont="1" applyFill="1" applyBorder="1" applyAlignment="1">
      <alignment horizontal="center" vertical="center" wrapText="1"/>
    </xf>
    <xf numFmtId="44" fontId="36" fillId="36" borderId="3" xfId="5" applyFont="1" applyFill="1" applyBorder="1" applyAlignment="1" applyProtection="1">
      <alignment wrapText="1"/>
    </xf>
    <xf numFmtId="44" fontId="36" fillId="3" borderId="3" xfId="5" applyFont="1" applyFill="1" applyBorder="1" applyAlignment="1" applyProtection="1">
      <alignment wrapText="1"/>
    </xf>
    <xf numFmtId="44" fontId="37" fillId="33" borderId="3" xfId="5" applyFont="1" applyFill="1" applyBorder="1" applyAlignment="1" applyProtection="1">
      <alignment wrapText="1"/>
    </xf>
    <xf numFmtId="43" fontId="0" fillId="0" borderId="0" xfId="0" applyNumberFormat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42" fillId="38" borderId="2" xfId="4" applyFont="1" applyFill="1" applyBorder="1" applyAlignment="1">
      <alignment horizontal="center" vertical="center" wrapText="1"/>
    </xf>
    <xf numFmtId="44" fontId="0" fillId="16" borderId="107" xfId="5" applyFont="1" applyFill="1" applyBorder="1" applyAlignment="1">
      <alignment horizontal="center" vertical="center"/>
    </xf>
    <xf numFmtId="44" fontId="0" fillId="0" borderId="105" xfId="5" applyFont="1" applyBorder="1" applyAlignment="1">
      <alignment horizontal="center" vertical="center"/>
    </xf>
    <xf numFmtId="44" fontId="0" fillId="16" borderId="133" xfId="5" applyFont="1" applyFill="1" applyBorder="1" applyAlignment="1">
      <alignment horizontal="center" vertical="center"/>
    </xf>
    <xf numFmtId="0" fontId="0" fillId="0" borderId="0" xfId="0" applyNumberFormat="1"/>
    <xf numFmtId="0" fontId="0" fillId="20" borderId="0" xfId="0" applyFill="1"/>
    <xf numFmtId="43" fontId="0" fillId="20" borderId="0" xfId="0" applyNumberFormat="1" applyFill="1"/>
    <xf numFmtId="44" fontId="0" fillId="20" borderId="0" xfId="5" applyFont="1" applyFill="1"/>
    <xf numFmtId="0" fontId="1" fillId="0" borderId="0" xfId="0" applyFont="1" applyAlignment="1">
      <alignment horizontal="center"/>
    </xf>
    <xf numFmtId="0" fontId="48" fillId="35" borderId="2" xfId="0" applyFont="1" applyFill="1" applyBorder="1" applyProtection="1"/>
    <xf numFmtId="0" fontId="48" fillId="36" borderId="2" xfId="0" applyFont="1" applyFill="1" applyBorder="1" applyProtection="1"/>
    <xf numFmtId="0" fontId="48" fillId="3" borderId="2" xfId="0" applyFont="1" applyFill="1" applyBorder="1" applyProtection="1"/>
    <xf numFmtId="0" fontId="48" fillId="34" borderId="2" xfId="0" applyFont="1" applyFill="1" applyBorder="1" applyProtection="1"/>
    <xf numFmtId="44" fontId="1" fillId="0" borderId="140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1" fontId="0" fillId="0" borderId="0" xfId="0" applyNumberForma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16" borderId="133" xfId="0" applyFill="1" applyBorder="1" applyAlignment="1" applyProtection="1">
      <alignment horizontal="left" vertical="center" wrapText="1" indent="1"/>
    </xf>
    <xf numFmtId="0" fontId="0" fillId="16" borderId="141" xfId="0" applyFill="1" applyBorder="1" applyAlignment="1" applyProtection="1">
      <alignment horizontal="left" vertical="center" indent="1"/>
    </xf>
    <xf numFmtId="0" fontId="0" fillId="16" borderId="142" xfId="0" applyFill="1" applyBorder="1" applyAlignment="1" applyProtection="1">
      <alignment horizontal="left" vertical="center" indent="1"/>
    </xf>
    <xf numFmtId="0" fontId="0" fillId="16" borderId="66" xfId="0" applyFill="1" applyBorder="1" applyAlignment="1">
      <alignment horizontal="left" vertical="center" indent="1"/>
    </xf>
    <xf numFmtId="0" fontId="0" fillId="16" borderId="141" xfId="0" applyFill="1" applyBorder="1" applyAlignment="1">
      <alignment horizontal="left" vertical="center"/>
    </xf>
    <xf numFmtId="44" fontId="0" fillId="16" borderId="142" xfId="5" applyFont="1" applyFill="1" applyBorder="1" applyAlignment="1">
      <alignment horizontal="center" vertical="center"/>
    </xf>
    <xf numFmtId="44" fontId="0" fillId="16" borderId="64" xfId="5" applyFont="1" applyFill="1" applyBorder="1" applyAlignment="1">
      <alignment horizontal="center" vertical="center"/>
    </xf>
    <xf numFmtId="44" fontId="0" fillId="37" borderId="66" xfId="5" applyFont="1" applyFill="1" applyBorder="1" applyAlignment="1">
      <alignment horizontal="center" vertical="center"/>
    </xf>
    <xf numFmtId="44" fontId="0" fillId="16" borderId="141" xfId="5" applyFont="1" applyFill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19" borderId="39" xfId="0" applyFill="1" applyBorder="1" applyAlignment="1">
      <alignment horizontal="left" wrapText="1"/>
    </xf>
    <xf numFmtId="0" fontId="0" fillId="19" borderId="40" xfId="0" applyFill="1" applyBorder="1" applyAlignment="1">
      <alignment horizontal="left" wrapText="1"/>
    </xf>
    <xf numFmtId="8" fontId="27" fillId="16" borderId="32" xfId="0" applyNumberFormat="1" applyFont="1" applyFill="1" applyBorder="1" applyAlignment="1">
      <alignment horizontal="center"/>
    </xf>
    <xf numFmtId="0" fontId="27" fillId="16" borderId="33" xfId="0" applyFont="1" applyFill="1" applyBorder="1" applyAlignment="1">
      <alignment horizontal="center"/>
    </xf>
    <xf numFmtId="0" fontId="23" fillId="2" borderId="24" xfId="0" applyFont="1" applyFill="1" applyBorder="1" applyAlignment="1">
      <alignment horizontal="center" vertical="center" wrapText="1" readingOrder="1"/>
    </xf>
    <xf numFmtId="0" fontId="23" fillId="2" borderId="45" xfId="0" applyFont="1" applyFill="1" applyBorder="1" applyAlignment="1">
      <alignment horizontal="center" vertical="center" wrapText="1" readingOrder="1"/>
    </xf>
    <xf numFmtId="0" fontId="4" fillId="2" borderId="24" xfId="0" applyFont="1" applyFill="1" applyBorder="1" applyAlignment="1">
      <alignment horizontal="center" vertical="center" wrapText="1" readingOrder="1"/>
    </xf>
    <xf numFmtId="0" fontId="4" fillId="2" borderId="45" xfId="0" applyFont="1" applyFill="1" applyBorder="1" applyAlignment="1">
      <alignment horizontal="center" vertical="center" wrapText="1" readingOrder="1"/>
    </xf>
    <xf numFmtId="8" fontId="4" fillId="2" borderId="24" xfId="0" applyNumberFormat="1" applyFont="1" applyFill="1" applyBorder="1" applyAlignment="1">
      <alignment horizontal="center" vertical="center" wrapText="1" readingOrder="1"/>
    </xf>
    <xf numFmtId="8" fontId="4" fillId="2" borderId="45" xfId="0" applyNumberFormat="1" applyFont="1" applyFill="1" applyBorder="1" applyAlignment="1">
      <alignment horizontal="center" vertical="center" wrapText="1" readingOrder="1"/>
    </xf>
    <xf numFmtId="0" fontId="3" fillId="9" borderId="24" xfId="0" applyFont="1" applyFill="1" applyBorder="1" applyAlignment="1" applyProtection="1">
      <alignment horizontal="center" vertical="center" wrapText="1" readingOrder="1"/>
      <protection locked="0"/>
    </xf>
    <xf numFmtId="0" fontId="3" fillId="9" borderId="45" xfId="0" applyFont="1" applyFill="1" applyBorder="1" applyAlignment="1" applyProtection="1">
      <alignment horizontal="center" vertical="center" wrapText="1" readingOrder="1"/>
      <protection locked="0"/>
    </xf>
    <xf numFmtId="0" fontId="33" fillId="0" borderId="0" xfId="0" applyFont="1" applyAlignment="1">
      <alignment horizontal="center"/>
    </xf>
    <xf numFmtId="8" fontId="31" fillId="16" borderId="32" xfId="0" applyNumberFormat="1" applyFont="1" applyFill="1" applyBorder="1" applyAlignment="1">
      <alignment horizontal="center"/>
    </xf>
    <xf numFmtId="0" fontId="31" fillId="16" borderId="33" xfId="0" applyFont="1" applyFill="1" applyBorder="1" applyAlignment="1">
      <alignment horizontal="center"/>
    </xf>
    <xf numFmtId="0" fontId="30" fillId="2" borderId="24" xfId="0" applyFont="1" applyFill="1" applyBorder="1" applyAlignment="1">
      <alignment horizontal="center" vertical="center" wrapText="1" readingOrder="1"/>
    </xf>
    <xf numFmtId="0" fontId="30" fillId="2" borderId="45" xfId="0" applyFont="1" applyFill="1" applyBorder="1" applyAlignment="1">
      <alignment horizontal="center" vertical="center" wrapText="1" readingOrder="1"/>
    </xf>
    <xf numFmtId="0" fontId="0" fillId="23" borderId="23" xfId="0" applyFill="1" applyBorder="1" applyAlignment="1">
      <alignment horizontal="center"/>
    </xf>
    <xf numFmtId="0" fontId="0" fillId="23" borderId="63" xfId="0" applyFill="1" applyBorder="1" applyAlignment="1">
      <alignment horizontal="center"/>
    </xf>
    <xf numFmtId="8" fontId="4" fillId="2" borderId="23" xfId="0" applyNumberFormat="1" applyFont="1" applyFill="1" applyBorder="1" applyAlignment="1">
      <alignment horizontal="center" vertical="center" wrapText="1" readingOrder="1"/>
    </xf>
    <xf numFmtId="8" fontId="4" fillId="2" borderId="61" xfId="0" applyNumberFormat="1" applyFont="1" applyFill="1" applyBorder="1" applyAlignment="1">
      <alignment horizontal="center" vertical="center" wrapText="1" readingOrder="1"/>
    </xf>
    <xf numFmtId="0" fontId="0" fillId="14" borderId="63" xfId="0" applyFill="1" applyBorder="1" applyAlignment="1">
      <alignment horizontal="center"/>
    </xf>
    <xf numFmtId="0" fontId="37" fillId="31" borderId="66" xfId="3" applyBorder="1" applyAlignment="1" applyProtection="1">
      <alignment horizontal="center" vertical="center"/>
    </xf>
    <xf numFmtId="0" fontId="34" fillId="29" borderId="2" xfId="1" applyBorder="1" applyAlignment="1" applyProtection="1">
      <alignment horizontal="center" vertical="center" wrapText="1" readingOrder="1"/>
    </xf>
    <xf numFmtId="0" fontId="34" fillId="29" borderId="8" xfId="1" applyBorder="1" applyAlignment="1" applyProtection="1">
      <alignment horizontal="center" vertical="center" wrapText="1" readingOrder="1"/>
    </xf>
    <xf numFmtId="0" fontId="35" fillId="30" borderId="0" xfId="2" applyAlignment="1" applyProtection="1">
      <alignment horizontal="center" vertical="center"/>
    </xf>
    <xf numFmtId="0" fontId="31" fillId="0" borderId="0" xfId="0" applyFont="1" applyAlignment="1">
      <alignment horizontal="center"/>
    </xf>
    <xf numFmtId="0" fontId="36" fillId="32" borderId="83" xfId="4" applyFont="1" applyBorder="1" applyAlignment="1">
      <alignment horizontal="center" vertical="center" wrapText="1"/>
    </xf>
    <xf numFmtId="0" fontId="36" fillId="32" borderId="84" xfId="4" applyFont="1" applyBorder="1" applyAlignment="1">
      <alignment horizontal="center" vertical="center" wrapText="1"/>
    </xf>
    <xf numFmtId="0" fontId="0" fillId="0" borderId="101" xfId="0" applyBorder="1" applyAlignment="1">
      <alignment horizontal="center"/>
    </xf>
    <xf numFmtId="0" fontId="0" fillId="0" borderId="104" xfId="0" applyBorder="1" applyAlignment="1">
      <alignment horizontal="center"/>
    </xf>
    <xf numFmtId="0" fontId="36" fillId="32" borderId="111" xfId="4" applyFont="1" applyBorder="1" applyAlignment="1">
      <alignment horizontal="center" vertical="center" wrapText="1"/>
    </xf>
    <xf numFmtId="0" fontId="36" fillId="32" borderId="113" xfId="4" applyFont="1" applyBorder="1" applyAlignment="1">
      <alignment horizontal="center" vertical="center" wrapText="1"/>
    </xf>
    <xf numFmtId="0" fontId="1" fillId="25" borderId="2" xfId="0" applyFont="1" applyFill="1" applyBorder="1" applyAlignment="1">
      <alignment horizontal="center"/>
    </xf>
    <xf numFmtId="0" fontId="1" fillId="25" borderId="3" xfId="0" applyFont="1" applyFill="1" applyBorder="1" applyAlignment="1">
      <alignment horizontal="center"/>
    </xf>
    <xf numFmtId="0" fontId="1" fillId="27" borderId="2" xfId="0" applyFont="1" applyFill="1" applyBorder="1" applyAlignment="1">
      <alignment horizontal="center"/>
    </xf>
    <xf numFmtId="0" fontId="1" fillId="27" borderId="3" xfId="0" applyFont="1" applyFill="1" applyBorder="1" applyAlignment="1">
      <alignment horizontal="center"/>
    </xf>
    <xf numFmtId="0" fontId="1" fillId="27" borderId="2" xfId="0" applyFont="1" applyFill="1" applyBorder="1" applyAlignment="1">
      <alignment horizontal="center" wrapText="1"/>
    </xf>
    <xf numFmtId="0" fontId="1" fillId="27" borderId="3" xfId="0" applyFont="1" applyFill="1" applyBorder="1" applyAlignment="1">
      <alignment horizontal="center" wrapText="1"/>
    </xf>
    <xf numFmtId="43" fontId="0" fillId="42" borderId="134" xfId="6" applyFont="1" applyFill="1" applyBorder="1" applyAlignment="1">
      <alignment horizontal="center" vertical="center"/>
    </xf>
    <xf numFmtId="43" fontId="0" fillId="42" borderId="135" xfId="6" applyFont="1" applyFill="1" applyBorder="1" applyAlignment="1">
      <alignment horizontal="center" vertical="center"/>
    </xf>
    <xf numFmtId="43" fontId="0" fillId="42" borderId="136" xfId="6" applyFont="1" applyFill="1" applyBorder="1" applyAlignment="1">
      <alignment horizontal="center" vertical="center"/>
    </xf>
    <xf numFmtId="43" fontId="0" fillId="42" borderId="137" xfId="6" applyFont="1" applyFill="1" applyBorder="1" applyAlignment="1">
      <alignment horizontal="center" vertical="center"/>
    </xf>
    <xf numFmtId="43" fontId="0" fillId="42" borderId="138" xfId="6" applyFont="1" applyFill="1" applyBorder="1" applyAlignment="1">
      <alignment horizontal="center" vertical="center"/>
    </xf>
    <xf numFmtId="43" fontId="0" fillId="42" borderId="139" xfId="6" applyFont="1" applyFill="1" applyBorder="1" applyAlignment="1">
      <alignment horizontal="center" vertical="center"/>
    </xf>
  </cellXfs>
  <cellStyles count="8">
    <cellStyle name="Accent1" xfId="3" builtinId="29"/>
    <cellStyle name="Accent3" xfId="4" builtinId="37"/>
    <cellStyle name="Bad" xfId="2" builtinId="27"/>
    <cellStyle name="Comma" xfId="6" builtinId="3"/>
    <cellStyle name="Currency" xfId="5" builtinId="4"/>
    <cellStyle name="Good" xfId="1" builtinId="26"/>
    <cellStyle name="Normal" xfId="0" builtinId="0"/>
    <cellStyle name="Percent" xfId="7" builtinId="5"/>
  </cellStyles>
  <dxfs count="0"/>
  <tableStyles count="0" defaultTableStyle="TableStyleMedium2" defaultPivotStyle="PivotStyleLight16"/>
  <colors>
    <mruColors>
      <color rgb="FFFFCCCC"/>
      <color rgb="FFFF9999"/>
      <color rgb="FF9966FF"/>
      <color rgb="FFE1D5F7"/>
      <color rgb="FFE8CEFE"/>
      <color rgb="FFCC66FF"/>
      <color rgb="FFF6D0FC"/>
      <color rgb="FFCCCCFF"/>
      <color rgb="FF9999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27213</xdr:colOff>
      <xdr:row>3</xdr:row>
      <xdr:rowOff>13606</xdr:rowOff>
    </xdr:from>
    <xdr:to>
      <xdr:col>14</xdr:col>
      <xdr:colOff>1085168</xdr:colOff>
      <xdr:row>8</xdr:row>
      <xdr:rowOff>211928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6C5CB61-3183-4915-8F74-F97298859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06713" y="219981"/>
          <a:ext cx="2415268" cy="17223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F4C50-1103-41B4-80D7-17B9D013972D}">
  <sheetPr codeName="Sheet1"/>
  <dimension ref="A1:N61"/>
  <sheetViews>
    <sheetView topLeftCell="A10" zoomScaleNormal="100" workbookViewId="0">
      <selection activeCell="B2" sqref="B2"/>
    </sheetView>
  </sheetViews>
  <sheetFormatPr defaultRowHeight="14.5" x14ac:dyDescent="0.35"/>
  <cols>
    <col min="1" max="1" width="47.26953125" customWidth="1"/>
    <col min="2" max="2" width="13.81640625" customWidth="1"/>
    <col min="4" max="4" width="16.1796875" customWidth="1"/>
    <col min="5" max="5" width="14.453125" customWidth="1"/>
    <col min="7" max="7" width="12.81640625" style="1" customWidth="1"/>
    <col min="8" max="8" width="13.81640625" customWidth="1"/>
    <col min="9" max="9" width="12.7265625" customWidth="1"/>
    <col min="10" max="10" width="16.453125" customWidth="1"/>
    <col min="11" max="11" width="14.453125" customWidth="1"/>
    <col min="12" max="12" width="13.7265625" customWidth="1"/>
    <col min="13" max="13" width="13.1796875" customWidth="1"/>
    <col min="14" max="14" width="14" customWidth="1"/>
  </cols>
  <sheetData>
    <row r="1" spans="1:14" x14ac:dyDescent="0.35">
      <c r="A1" s="537" t="s">
        <v>265</v>
      </c>
    </row>
    <row r="2" spans="1:14" x14ac:dyDescent="0.35">
      <c r="A2" s="537"/>
    </row>
    <row r="3" spans="1:14" x14ac:dyDescent="0.35">
      <c r="A3" s="215" t="s">
        <v>263</v>
      </c>
      <c r="B3" s="215"/>
      <c r="D3" s="220" t="s">
        <v>264</v>
      </c>
      <c r="E3" s="221"/>
      <c r="F3" s="221"/>
      <c r="G3" s="222"/>
      <c r="H3" s="221"/>
      <c r="J3" s="223"/>
    </row>
    <row r="5" spans="1:14" x14ac:dyDescent="0.35">
      <c r="A5" s="102" t="s">
        <v>160</v>
      </c>
      <c r="B5" s="103" t="s">
        <v>161</v>
      </c>
      <c r="C5" s="103" t="s">
        <v>162</v>
      </c>
      <c r="D5" s="104" t="s">
        <v>163</v>
      </c>
      <c r="E5" s="103" t="s">
        <v>164</v>
      </c>
      <c r="F5" s="103" t="s">
        <v>165</v>
      </c>
      <c r="G5" s="103" t="s">
        <v>166</v>
      </c>
      <c r="H5" s="105" t="s">
        <v>167</v>
      </c>
      <c r="I5" s="105" t="s">
        <v>168</v>
      </c>
      <c r="J5" s="106" t="s">
        <v>169</v>
      </c>
      <c r="K5" s="107" t="s">
        <v>170</v>
      </c>
      <c r="L5" s="108" t="s">
        <v>171</v>
      </c>
      <c r="M5" s="107" t="s">
        <v>172</v>
      </c>
      <c r="N5" s="108" t="s">
        <v>173</v>
      </c>
    </row>
    <row r="6" spans="1:14" hidden="1" x14ac:dyDescent="0.35">
      <c r="A6" s="89" t="s">
        <v>29</v>
      </c>
      <c r="B6" s="109">
        <v>0</v>
      </c>
      <c r="C6" s="109">
        <v>0</v>
      </c>
      <c r="D6" s="110" t="e">
        <f t="shared" ref="D6:D12" si="0">B6/SUM(B6+E6)</f>
        <v>#DIV/0!</v>
      </c>
      <c r="E6" s="109">
        <v>0</v>
      </c>
      <c r="F6" s="109">
        <v>0</v>
      </c>
      <c r="G6" s="109">
        <f t="shared" ref="G6:G12" si="1">SUM(C6+F6)</f>
        <v>0</v>
      </c>
      <c r="H6" s="111"/>
      <c r="I6" s="111"/>
      <c r="K6" s="109"/>
      <c r="L6" s="89"/>
      <c r="M6" s="109"/>
      <c r="N6" s="89"/>
    </row>
    <row r="7" spans="1:14" hidden="1" x14ac:dyDescent="0.35">
      <c r="A7" s="89" t="s">
        <v>26</v>
      </c>
      <c r="B7" s="109"/>
      <c r="C7" s="109">
        <v>0</v>
      </c>
      <c r="D7" s="110" t="e">
        <f t="shared" si="0"/>
        <v>#DIV/0!</v>
      </c>
      <c r="E7" s="109"/>
      <c r="F7" s="109">
        <v>0</v>
      </c>
      <c r="G7" s="109">
        <f t="shared" si="1"/>
        <v>0</v>
      </c>
      <c r="H7" s="111"/>
      <c r="I7" s="111"/>
      <c r="K7" s="109"/>
      <c r="L7" s="89"/>
      <c r="M7" s="109"/>
      <c r="N7" s="89"/>
    </row>
    <row r="8" spans="1:14" hidden="1" x14ac:dyDescent="0.35">
      <c r="A8" s="89" t="s">
        <v>27</v>
      </c>
      <c r="B8" s="109">
        <v>1203</v>
      </c>
      <c r="C8" s="109">
        <v>1383.4499999999998</v>
      </c>
      <c r="D8" s="110">
        <f t="shared" si="0"/>
        <v>0.53585746102449894</v>
      </c>
      <c r="E8" s="109">
        <v>1042</v>
      </c>
      <c r="F8" s="109">
        <v>729.4</v>
      </c>
      <c r="G8" s="109">
        <f t="shared" si="1"/>
        <v>2112.85</v>
      </c>
      <c r="H8" s="111"/>
      <c r="I8" s="111"/>
      <c r="K8" s="109"/>
      <c r="L8" s="89"/>
      <c r="M8" s="109"/>
      <c r="N8" s="89"/>
    </row>
    <row r="9" spans="1:14" hidden="1" x14ac:dyDescent="0.35">
      <c r="A9" s="89" t="s">
        <v>28</v>
      </c>
      <c r="B9" s="109"/>
      <c r="C9" s="109">
        <v>0</v>
      </c>
      <c r="D9" s="110" t="e">
        <f t="shared" si="0"/>
        <v>#DIV/0!</v>
      </c>
      <c r="E9" s="109"/>
      <c r="F9" s="109">
        <v>0</v>
      </c>
      <c r="G9" s="109">
        <f t="shared" si="1"/>
        <v>0</v>
      </c>
      <c r="H9" s="111"/>
      <c r="I9" s="111"/>
      <c r="K9" s="109"/>
      <c r="L9" s="89"/>
      <c r="M9" s="109"/>
      <c r="N9" s="89"/>
    </row>
    <row r="10" spans="1:14" x14ac:dyDescent="0.35">
      <c r="A10" s="90" t="s">
        <v>0</v>
      </c>
      <c r="B10" s="109">
        <v>5571</v>
      </c>
      <c r="C10" s="112">
        <v>389970</v>
      </c>
      <c r="D10" s="110">
        <f t="shared" si="0"/>
        <v>0.71423076923076922</v>
      </c>
      <c r="E10" s="109">
        <v>2229</v>
      </c>
      <c r="F10" s="112">
        <v>133740</v>
      </c>
      <c r="G10" s="112">
        <f t="shared" si="1"/>
        <v>523710</v>
      </c>
      <c r="H10" s="113">
        <f t="shared" ref="H10:H51" si="2">C10/J10</f>
        <v>4.4451086439049249E-2</v>
      </c>
      <c r="I10" s="113">
        <f t="shared" ref="I10:I51" si="3">G10/J10</f>
        <v>5.9695562425300615E-2</v>
      </c>
      <c r="J10" s="114">
        <f t="shared" ref="J10:J51" si="4">N10+L10</f>
        <v>8773013.9179999977</v>
      </c>
      <c r="K10" s="115">
        <v>10153</v>
      </c>
      <c r="L10" s="116">
        <v>4320914</v>
      </c>
      <c r="M10" s="115">
        <v>10459.222</v>
      </c>
      <c r="N10" s="116">
        <v>4452099.9179999977</v>
      </c>
    </row>
    <row r="11" spans="1:14" x14ac:dyDescent="0.35">
      <c r="A11" s="90" t="s">
        <v>51</v>
      </c>
      <c r="B11" s="109">
        <v>27950</v>
      </c>
      <c r="C11" s="112">
        <v>342387.5</v>
      </c>
      <c r="D11" s="110">
        <f t="shared" si="0"/>
        <v>0.72826285208056485</v>
      </c>
      <c r="E11" s="109">
        <v>10429</v>
      </c>
      <c r="F11" s="112">
        <v>91253.75</v>
      </c>
      <c r="G11" s="112">
        <f t="shared" si="1"/>
        <v>433641.25</v>
      </c>
      <c r="H11" s="113">
        <f t="shared" si="2"/>
        <v>1.7374546990124317E-2</v>
      </c>
      <c r="I11" s="113">
        <f t="shared" si="3"/>
        <v>2.2005243401062385E-2</v>
      </c>
      <c r="J11" s="114">
        <f t="shared" si="4"/>
        <v>19706269.187600277</v>
      </c>
      <c r="K11" s="115">
        <v>69840</v>
      </c>
      <c r="L11" s="116">
        <v>9397607</v>
      </c>
      <c r="M11" s="115">
        <v>76610.152999999991</v>
      </c>
      <c r="N11" s="116">
        <v>10308662.187600277</v>
      </c>
    </row>
    <row r="12" spans="1:14" hidden="1" x14ac:dyDescent="0.35">
      <c r="A12" s="90" t="s">
        <v>31</v>
      </c>
      <c r="B12" s="109">
        <v>2202</v>
      </c>
      <c r="C12" s="112">
        <v>638.58000000000004</v>
      </c>
      <c r="D12" s="110">
        <f t="shared" si="0"/>
        <v>1</v>
      </c>
      <c r="E12" s="109"/>
      <c r="F12" s="112">
        <v>0</v>
      </c>
      <c r="G12" s="112">
        <f t="shared" si="1"/>
        <v>638.58000000000004</v>
      </c>
      <c r="H12" s="113" t="e">
        <f t="shared" si="2"/>
        <v>#DIV/0!</v>
      </c>
      <c r="I12" s="113" t="e">
        <f t="shared" si="3"/>
        <v>#DIV/0!</v>
      </c>
      <c r="J12" s="114">
        <f t="shared" si="4"/>
        <v>0</v>
      </c>
      <c r="K12" s="115"/>
      <c r="L12" s="117"/>
      <c r="M12" s="115"/>
      <c r="N12" s="117"/>
    </row>
    <row r="13" spans="1:14" x14ac:dyDescent="0.35">
      <c r="A13" s="90" t="s">
        <v>174</v>
      </c>
      <c r="B13" s="109">
        <v>653149</v>
      </c>
      <c r="C13" s="112">
        <v>211216.99999999997</v>
      </c>
      <c r="D13" s="110">
        <v>0.60573059206163871</v>
      </c>
      <c r="E13" s="109">
        <v>425134</v>
      </c>
      <c r="F13" s="112">
        <v>91054.73</v>
      </c>
      <c r="G13" s="112">
        <v>302271.73000000004</v>
      </c>
      <c r="H13" s="118">
        <f t="shared" si="2"/>
        <v>5.9071307745049732E-3</v>
      </c>
      <c r="I13" s="118">
        <f t="shared" si="3"/>
        <v>8.4536691580027103E-3</v>
      </c>
      <c r="J13" s="114">
        <f t="shared" si="4"/>
        <v>35756276.280797303</v>
      </c>
      <c r="K13" s="115">
        <v>351801</v>
      </c>
      <c r="L13" s="116">
        <v>18068491</v>
      </c>
      <c r="M13" s="115">
        <v>344388.35499989538</v>
      </c>
      <c r="N13" s="116">
        <v>17687785.280797303</v>
      </c>
    </row>
    <row r="14" spans="1:14" x14ac:dyDescent="0.35">
      <c r="A14" s="90" t="s">
        <v>73</v>
      </c>
      <c r="B14" s="109">
        <v>21131</v>
      </c>
      <c r="C14" s="112">
        <v>90863.3</v>
      </c>
      <c r="D14" s="110">
        <f t="shared" ref="D14:D57" si="5">B14/SUM(B14+E14)</f>
        <v>0.6781232951445717</v>
      </c>
      <c r="E14" s="109">
        <v>10030</v>
      </c>
      <c r="F14" s="112">
        <v>30090</v>
      </c>
      <c r="G14" s="112">
        <f t="shared" ref="G14:G30" si="6">SUM(C14+F14)</f>
        <v>120953.3</v>
      </c>
      <c r="H14" s="113">
        <f t="shared" si="2"/>
        <v>5.3332821350582293E-3</v>
      </c>
      <c r="I14" s="113">
        <f t="shared" si="3"/>
        <v>7.0994348000385033E-3</v>
      </c>
      <c r="J14" s="114">
        <f t="shared" si="4"/>
        <v>17037032.299999997</v>
      </c>
      <c r="K14" s="115">
        <v>7542901</v>
      </c>
      <c r="L14" s="116">
        <v>8295538</v>
      </c>
      <c r="M14" s="115">
        <v>7946813</v>
      </c>
      <c r="N14" s="116">
        <v>8741494.2999999989</v>
      </c>
    </row>
    <row r="15" spans="1:14" hidden="1" x14ac:dyDescent="0.35">
      <c r="A15" s="90" t="s">
        <v>36</v>
      </c>
      <c r="B15" s="109">
        <v>0</v>
      </c>
      <c r="C15" s="112">
        <v>0</v>
      </c>
      <c r="D15" s="110">
        <f t="shared" si="5"/>
        <v>0</v>
      </c>
      <c r="E15" s="109">
        <v>1170</v>
      </c>
      <c r="F15" s="112">
        <v>175.5</v>
      </c>
      <c r="G15" s="112">
        <f t="shared" si="6"/>
        <v>175.5</v>
      </c>
      <c r="H15" s="113" t="e">
        <f t="shared" si="2"/>
        <v>#DIV/0!</v>
      </c>
      <c r="I15" s="113" t="e">
        <f t="shared" si="3"/>
        <v>#DIV/0!</v>
      </c>
      <c r="J15" s="114">
        <f t="shared" si="4"/>
        <v>0</v>
      </c>
      <c r="K15" s="115"/>
      <c r="L15" s="117"/>
      <c r="M15" s="115"/>
      <c r="N15" s="117"/>
    </row>
    <row r="16" spans="1:14" hidden="1" x14ac:dyDescent="0.35">
      <c r="A16" s="90" t="s">
        <v>34</v>
      </c>
      <c r="B16" s="109">
        <v>0</v>
      </c>
      <c r="C16" s="112">
        <v>0</v>
      </c>
      <c r="D16" s="110" t="e">
        <f t="shared" si="5"/>
        <v>#DIV/0!</v>
      </c>
      <c r="E16" s="109">
        <v>0</v>
      </c>
      <c r="F16" s="112">
        <v>0</v>
      </c>
      <c r="G16" s="112">
        <f t="shared" si="6"/>
        <v>0</v>
      </c>
      <c r="H16" s="113" t="e">
        <f t="shared" si="2"/>
        <v>#DIV/0!</v>
      </c>
      <c r="I16" s="113" t="e">
        <f t="shared" si="3"/>
        <v>#DIV/0!</v>
      </c>
      <c r="J16" s="114">
        <f t="shared" si="4"/>
        <v>0</v>
      </c>
      <c r="K16" s="115"/>
      <c r="L16" s="117"/>
      <c r="M16" s="115"/>
      <c r="N16" s="117"/>
    </row>
    <row r="17" spans="1:14" hidden="1" x14ac:dyDescent="0.35">
      <c r="A17" s="90" t="s">
        <v>35</v>
      </c>
      <c r="B17" s="109">
        <v>1395</v>
      </c>
      <c r="C17" s="112">
        <v>265.05</v>
      </c>
      <c r="D17" s="110">
        <f t="shared" si="5"/>
        <v>0.21281464530892449</v>
      </c>
      <c r="E17" s="109">
        <v>5160</v>
      </c>
      <c r="F17" s="112">
        <v>670.80000000000007</v>
      </c>
      <c r="G17" s="112">
        <f t="shared" si="6"/>
        <v>935.85000000000014</v>
      </c>
      <c r="H17" s="113" t="e">
        <f t="shared" si="2"/>
        <v>#DIV/0!</v>
      </c>
      <c r="I17" s="113" t="e">
        <f t="shared" si="3"/>
        <v>#DIV/0!</v>
      </c>
      <c r="J17" s="114">
        <f t="shared" si="4"/>
        <v>0</v>
      </c>
      <c r="K17" s="115"/>
      <c r="L17" s="117"/>
      <c r="M17" s="115"/>
      <c r="N17" s="117"/>
    </row>
    <row r="18" spans="1:14" hidden="1" x14ac:dyDescent="0.35">
      <c r="A18" s="90" t="s">
        <v>37</v>
      </c>
      <c r="B18" s="109">
        <v>195266</v>
      </c>
      <c r="C18" s="112">
        <v>44911.18</v>
      </c>
      <c r="D18" s="110">
        <f t="shared" si="5"/>
        <v>0.56445048274267218</v>
      </c>
      <c r="E18" s="109">
        <v>150674</v>
      </c>
      <c r="F18" s="112">
        <v>24107.84</v>
      </c>
      <c r="G18" s="112">
        <f t="shared" si="6"/>
        <v>69019.02</v>
      </c>
      <c r="H18" s="113" t="e">
        <f t="shared" si="2"/>
        <v>#DIV/0!</v>
      </c>
      <c r="I18" s="113" t="e">
        <f t="shared" si="3"/>
        <v>#DIV/0!</v>
      </c>
      <c r="J18" s="114">
        <f t="shared" si="4"/>
        <v>0</v>
      </c>
      <c r="K18" s="115"/>
      <c r="L18" s="117"/>
      <c r="M18" s="115"/>
      <c r="N18" s="117"/>
    </row>
    <row r="19" spans="1:14" hidden="1" x14ac:dyDescent="0.35">
      <c r="A19" s="90" t="s">
        <v>38</v>
      </c>
      <c r="B19" s="109">
        <v>13326</v>
      </c>
      <c r="C19" s="112">
        <v>3198.2400000000002</v>
      </c>
      <c r="D19" s="110">
        <f t="shared" si="5"/>
        <v>0.53197604790419162</v>
      </c>
      <c r="E19" s="109">
        <v>11724</v>
      </c>
      <c r="F19" s="112">
        <v>1993.0800000000002</v>
      </c>
      <c r="G19" s="112">
        <f t="shared" si="6"/>
        <v>5191.3200000000006</v>
      </c>
      <c r="H19" s="113" t="e">
        <f t="shared" si="2"/>
        <v>#DIV/0!</v>
      </c>
      <c r="I19" s="113" t="e">
        <f t="shared" si="3"/>
        <v>#DIV/0!</v>
      </c>
      <c r="J19" s="114">
        <f t="shared" si="4"/>
        <v>0</v>
      </c>
      <c r="K19" s="115"/>
      <c r="L19" s="117"/>
      <c r="M19" s="115"/>
      <c r="N19" s="117"/>
    </row>
    <row r="20" spans="1:14" hidden="1" x14ac:dyDescent="0.35">
      <c r="A20" s="90" t="s">
        <v>39</v>
      </c>
      <c r="B20" s="109">
        <v>48108</v>
      </c>
      <c r="C20" s="112">
        <v>13951.320000000002</v>
      </c>
      <c r="D20" s="110">
        <f t="shared" si="5"/>
        <v>0.83441158615904953</v>
      </c>
      <c r="E20" s="109">
        <v>9547</v>
      </c>
      <c r="F20" s="112">
        <v>1909.4</v>
      </c>
      <c r="G20" s="112">
        <f t="shared" si="6"/>
        <v>15860.720000000001</v>
      </c>
      <c r="H20" s="113" t="e">
        <f t="shared" si="2"/>
        <v>#DIV/0!</v>
      </c>
      <c r="I20" s="113" t="e">
        <f t="shared" si="3"/>
        <v>#DIV/0!</v>
      </c>
      <c r="J20" s="114">
        <f t="shared" si="4"/>
        <v>0</v>
      </c>
      <c r="K20" s="115"/>
      <c r="L20" s="117"/>
      <c r="M20" s="115"/>
      <c r="N20" s="117"/>
    </row>
    <row r="21" spans="1:14" hidden="1" x14ac:dyDescent="0.35">
      <c r="A21" s="90" t="s">
        <v>40</v>
      </c>
      <c r="B21" s="109">
        <v>3278</v>
      </c>
      <c r="C21" s="112">
        <v>983.40000000000009</v>
      </c>
      <c r="D21" s="110">
        <f t="shared" si="5"/>
        <v>0.18186861961828674</v>
      </c>
      <c r="E21" s="109">
        <v>14746</v>
      </c>
      <c r="F21" s="112">
        <v>2949.2000000000003</v>
      </c>
      <c r="G21" s="112">
        <f t="shared" si="6"/>
        <v>3932.6000000000004</v>
      </c>
      <c r="H21" s="113" t="e">
        <f t="shared" si="2"/>
        <v>#DIV/0!</v>
      </c>
      <c r="I21" s="113" t="e">
        <f t="shared" si="3"/>
        <v>#DIV/0!</v>
      </c>
      <c r="J21" s="114">
        <f t="shared" si="4"/>
        <v>0</v>
      </c>
      <c r="K21" s="115"/>
      <c r="L21" s="117"/>
      <c r="M21" s="115"/>
      <c r="N21" s="117"/>
    </row>
    <row r="22" spans="1:14" hidden="1" x14ac:dyDescent="0.35">
      <c r="A22" s="90" t="s">
        <v>41</v>
      </c>
      <c r="B22" s="109">
        <v>281117</v>
      </c>
      <c r="C22" s="112">
        <v>98390.95</v>
      </c>
      <c r="D22" s="110">
        <f t="shared" si="5"/>
        <v>0.61361840525614997</v>
      </c>
      <c r="E22" s="109">
        <v>177013</v>
      </c>
      <c r="F22" s="112">
        <v>42483.119999999995</v>
      </c>
      <c r="G22" s="112">
        <f t="shared" si="6"/>
        <v>140874.07</v>
      </c>
      <c r="H22" s="113" t="e">
        <f t="shared" si="2"/>
        <v>#DIV/0!</v>
      </c>
      <c r="I22" s="113" t="e">
        <f t="shared" si="3"/>
        <v>#DIV/0!</v>
      </c>
      <c r="J22" s="114">
        <f t="shared" si="4"/>
        <v>0</v>
      </c>
      <c r="K22" s="115"/>
      <c r="L22" s="117"/>
      <c r="M22" s="115"/>
      <c r="N22" s="117"/>
    </row>
    <row r="23" spans="1:14" hidden="1" x14ac:dyDescent="0.35">
      <c r="A23" s="90" t="s">
        <v>42</v>
      </c>
      <c r="B23" s="109">
        <v>10307</v>
      </c>
      <c r="C23" s="112">
        <v>3916.66</v>
      </c>
      <c r="D23" s="110">
        <f t="shared" si="5"/>
        <v>0.70960413080895013</v>
      </c>
      <c r="E23" s="109">
        <v>4218</v>
      </c>
      <c r="F23" s="112">
        <v>1096.68</v>
      </c>
      <c r="G23" s="112">
        <f t="shared" si="6"/>
        <v>5013.34</v>
      </c>
      <c r="H23" s="113" t="e">
        <f t="shared" si="2"/>
        <v>#DIV/0!</v>
      </c>
      <c r="I23" s="113" t="e">
        <f t="shared" si="3"/>
        <v>#DIV/0!</v>
      </c>
      <c r="J23" s="114">
        <f t="shared" si="4"/>
        <v>0</v>
      </c>
      <c r="K23" s="115"/>
      <c r="L23" s="117"/>
      <c r="M23" s="115"/>
      <c r="N23" s="117"/>
    </row>
    <row r="24" spans="1:14" hidden="1" x14ac:dyDescent="0.35">
      <c r="A24" s="90" t="s">
        <v>49</v>
      </c>
      <c r="B24" s="109">
        <v>1256</v>
      </c>
      <c r="C24" s="112">
        <v>615.43999999999994</v>
      </c>
      <c r="D24" s="110">
        <f t="shared" si="5"/>
        <v>0.94365138993238162</v>
      </c>
      <c r="E24" s="109">
        <v>75</v>
      </c>
      <c r="F24" s="112">
        <v>24.75</v>
      </c>
      <c r="G24" s="112">
        <f t="shared" si="6"/>
        <v>640.18999999999994</v>
      </c>
      <c r="H24" s="113" t="e">
        <f t="shared" si="2"/>
        <v>#DIV/0!</v>
      </c>
      <c r="I24" s="113" t="e">
        <f t="shared" si="3"/>
        <v>#DIV/0!</v>
      </c>
      <c r="J24" s="114">
        <f t="shared" si="4"/>
        <v>0</v>
      </c>
      <c r="K24" s="115"/>
      <c r="L24" s="117"/>
      <c r="M24" s="115"/>
      <c r="N24" s="117"/>
    </row>
    <row r="25" spans="1:14" hidden="1" x14ac:dyDescent="0.35">
      <c r="A25" s="90" t="s">
        <v>43</v>
      </c>
      <c r="B25" s="109">
        <v>42151</v>
      </c>
      <c r="C25" s="112">
        <v>16860.400000000001</v>
      </c>
      <c r="D25" s="110">
        <f t="shared" si="5"/>
        <v>0.69468982793855893</v>
      </c>
      <c r="E25" s="109">
        <v>18525</v>
      </c>
      <c r="F25" s="112">
        <v>5001.75</v>
      </c>
      <c r="G25" s="112">
        <f t="shared" si="6"/>
        <v>21862.15</v>
      </c>
      <c r="H25" s="113" t="e">
        <f t="shared" si="2"/>
        <v>#DIV/0!</v>
      </c>
      <c r="I25" s="113" t="e">
        <f t="shared" si="3"/>
        <v>#DIV/0!</v>
      </c>
      <c r="J25" s="114">
        <f t="shared" si="4"/>
        <v>0</v>
      </c>
      <c r="K25" s="115"/>
      <c r="L25" s="117"/>
      <c r="M25" s="115"/>
      <c r="N25" s="117"/>
    </row>
    <row r="26" spans="1:14" hidden="1" x14ac:dyDescent="0.35">
      <c r="A26" s="90" t="s">
        <v>44</v>
      </c>
      <c r="B26" s="109">
        <v>18046</v>
      </c>
      <c r="C26" s="112">
        <v>7940.24</v>
      </c>
      <c r="D26" s="110">
        <f t="shared" si="5"/>
        <v>0.54041266133620813</v>
      </c>
      <c r="E26" s="109">
        <v>15347</v>
      </c>
      <c r="F26" s="112">
        <v>4604.0999999999995</v>
      </c>
      <c r="G26" s="112">
        <f t="shared" si="6"/>
        <v>12544.34</v>
      </c>
      <c r="H26" s="113" t="e">
        <f t="shared" si="2"/>
        <v>#DIV/0!</v>
      </c>
      <c r="I26" s="113" t="e">
        <f t="shared" si="3"/>
        <v>#DIV/0!</v>
      </c>
      <c r="J26" s="114">
        <f t="shared" si="4"/>
        <v>0</v>
      </c>
      <c r="K26" s="115"/>
      <c r="L26" s="117"/>
      <c r="M26" s="115"/>
      <c r="N26" s="117"/>
    </row>
    <row r="27" spans="1:14" hidden="1" x14ac:dyDescent="0.35">
      <c r="A27" s="90" t="s">
        <v>45</v>
      </c>
      <c r="B27" s="109">
        <v>13589</v>
      </c>
      <c r="C27" s="112">
        <v>6658.61</v>
      </c>
      <c r="D27" s="110">
        <f t="shared" si="5"/>
        <v>0.64882543926661573</v>
      </c>
      <c r="E27" s="109">
        <v>7355</v>
      </c>
      <c r="F27" s="112">
        <v>2500.7000000000003</v>
      </c>
      <c r="G27" s="112">
        <f t="shared" si="6"/>
        <v>9159.31</v>
      </c>
      <c r="H27" s="113" t="e">
        <f t="shared" si="2"/>
        <v>#DIV/0!</v>
      </c>
      <c r="I27" s="113" t="e">
        <f t="shared" si="3"/>
        <v>#DIV/0!</v>
      </c>
      <c r="J27" s="114">
        <f t="shared" si="4"/>
        <v>0</v>
      </c>
      <c r="K27" s="115"/>
      <c r="L27" s="117"/>
      <c r="M27" s="115"/>
      <c r="N27" s="117"/>
    </row>
    <row r="28" spans="1:14" hidden="1" x14ac:dyDescent="0.35">
      <c r="A28" s="90" t="s">
        <v>46</v>
      </c>
      <c r="B28" s="109">
        <v>16727</v>
      </c>
      <c r="C28" s="112">
        <v>8530.77</v>
      </c>
      <c r="D28" s="110">
        <f t="shared" si="5"/>
        <v>0.67913114088509952</v>
      </c>
      <c r="E28" s="109">
        <v>7903</v>
      </c>
      <c r="F28" s="112">
        <v>2845.08</v>
      </c>
      <c r="G28" s="112">
        <f t="shared" si="6"/>
        <v>11375.85</v>
      </c>
      <c r="H28" s="113" t="e">
        <f t="shared" si="2"/>
        <v>#DIV/0!</v>
      </c>
      <c r="I28" s="113" t="e">
        <f t="shared" si="3"/>
        <v>#DIV/0!</v>
      </c>
      <c r="J28" s="114">
        <f t="shared" si="4"/>
        <v>0</v>
      </c>
      <c r="K28" s="115"/>
      <c r="L28" s="117"/>
      <c r="M28" s="115"/>
      <c r="N28" s="117"/>
    </row>
    <row r="29" spans="1:14" hidden="1" x14ac:dyDescent="0.35">
      <c r="A29" s="90" t="s">
        <v>47</v>
      </c>
      <c r="B29" s="109">
        <v>8251</v>
      </c>
      <c r="C29" s="112">
        <v>4785.58</v>
      </c>
      <c r="D29" s="110">
        <f t="shared" si="5"/>
        <v>0.84202469639759159</v>
      </c>
      <c r="E29" s="109">
        <v>1548</v>
      </c>
      <c r="F29" s="112">
        <v>634.67999999999995</v>
      </c>
      <c r="G29" s="112">
        <f t="shared" si="6"/>
        <v>5420.26</v>
      </c>
      <c r="H29" s="113" t="e">
        <f t="shared" si="2"/>
        <v>#DIV/0!</v>
      </c>
      <c r="I29" s="113" t="e">
        <f t="shared" si="3"/>
        <v>#DIV/0!</v>
      </c>
      <c r="J29" s="114">
        <f t="shared" si="4"/>
        <v>0</v>
      </c>
      <c r="K29" s="115"/>
      <c r="L29" s="117"/>
      <c r="M29" s="115"/>
      <c r="N29" s="117"/>
    </row>
    <row r="30" spans="1:14" hidden="1" x14ac:dyDescent="0.35">
      <c r="A30" s="90" t="s">
        <v>48</v>
      </c>
      <c r="B30" s="109">
        <v>332</v>
      </c>
      <c r="C30" s="112">
        <v>209.16</v>
      </c>
      <c r="D30" s="110">
        <f t="shared" si="5"/>
        <v>0.72017353579175702</v>
      </c>
      <c r="E30" s="109">
        <v>129</v>
      </c>
      <c r="F30" s="112">
        <v>58.050000000000004</v>
      </c>
      <c r="G30" s="112">
        <f t="shared" si="6"/>
        <v>267.20999999999998</v>
      </c>
      <c r="H30" s="113" t="e">
        <f t="shared" si="2"/>
        <v>#DIV/0!</v>
      </c>
      <c r="I30" s="113" t="e">
        <f t="shared" si="3"/>
        <v>#DIV/0!</v>
      </c>
      <c r="J30" s="114">
        <f t="shared" si="4"/>
        <v>0</v>
      </c>
      <c r="K30" s="115"/>
      <c r="L30" s="117"/>
      <c r="M30" s="115"/>
      <c r="N30" s="117"/>
    </row>
    <row r="31" spans="1:14" x14ac:dyDescent="0.35">
      <c r="A31" s="90" t="s">
        <v>32</v>
      </c>
      <c r="B31" s="109">
        <v>1580</v>
      </c>
      <c r="C31" s="112">
        <v>11850</v>
      </c>
      <c r="D31" s="110">
        <f t="shared" si="5"/>
        <v>0.83864118895966033</v>
      </c>
      <c r="E31" s="109">
        <v>304</v>
      </c>
      <c r="F31" s="112">
        <v>1824</v>
      </c>
      <c r="G31" s="112">
        <f>SUM(C31+F31)+100000</f>
        <v>113674</v>
      </c>
      <c r="H31" s="113">
        <f t="shared" si="2"/>
        <v>1.2463114571035289E-2</v>
      </c>
      <c r="I31" s="113">
        <f t="shared" si="3"/>
        <v>0.11955545027408147</v>
      </c>
      <c r="J31" s="114">
        <f t="shared" si="4"/>
        <v>950805.67000000237</v>
      </c>
      <c r="K31" s="115">
        <v>1319</v>
      </c>
      <c r="L31" s="116">
        <v>495215</v>
      </c>
      <c r="M31" s="115">
        <v>1216</v>
      </c>
      <c r="N31" s="116">
        <v>455590.67000000237</v>
      </c>
    </row>
    <row r="32" spans="1:14" x14ac:dyDescent="0.35">
      <c r="A32" s="90" t="s">
        <v>61</v>
      </c>
      <c r="B32" s="109">
        <v>10040</v>
      </c>
      <c r="C32" s="112">
        <v>90360</v>
      </c>
      <c r="D32" s="110">
        <f t="shared" si="5"/>
        <v>0.75245447050888103</v>
      </c>
      <c r="E32" s="109">
        <v>3303</v>
      </c>
      <c r="F32" s="112">
        <v>23121</v>
      </c>
      <c r="G32" s="112">
        <f t="shared" ref="G32:G53" si="7">SUM(C32+F32)</f>
        <v>113481</v>
      </c>
      <c r="H32" s="113">
        <f t="shared" si="2"/>
        <v>2.1354231579438214E-2</v>
      </c>
      <c r="I32" s="113">
        <f t="shared" si="3"/>
        <v>2.681827748855941E-2</v>
      </c>
      <c r="J32" s="114">
        <f t="shared" si="4"/>
        <v>4231479.8200000217</v>
      </c>
      <c r="K32" s="115">
        <v>27892</v>
      </c>
      <c r="L32" s="116">
        <v>2420468</v>
      </c>
      <c r="M32" s="115">
        <v>20869</v>
      </c>
      <c r="N32" s="116">
        <v>1811011.8200000215</v>
      </c>
    </row>
    <row r="33" spans="1:14" x14ac:dyDescent="0.35">
      <c r="A33" s="90" t="s">
        <v>54</v>
      </c>
      <c r="B33" s="109">
        <v>303872</v>
      </c>
      <c r="C33" s="112">
        <v>60774.400000000001</v>
      </c>
      <c r="D33" s="110">
        <f t="shared" si="5"/>
        <v>0.60300797536151074</v>
      </c>
      <c r="E33" s="109">
        <v>200055</v>
      </c>
      <c r="F33" s="112">
        <v>30008.25</v>
      </c>
      <c r="G33" s="112">
        <f t="shared" si="7"/>
        <v>90782.65</v>
      </c>
      <c r="H33" s="113">
        <f t="shared" si="2"/>
        <v>1.9697713681384271E-2</v>
      </c>
      <c r="I33" s="113">
        <f t="shared" si="3"/>
        <v>2.9423748271267501E-2</v>
      </c>
      <c r="J33" s="114">
        <f t="shared" si="4"/>
        <v>3085353</v>
      </c>
      <c r="K33" s="115">
        <v>545520</v>
      </c>
      <c r="L33" s="117">
        <v>1490598</v>
      </c>
      <c r="M33" s="115">
        <v>581524</v>
      </c>
      <c r="N33" s="117">
        <v>1594755</v>
      </c>
    </row>
    <row r="34" spans="1:14" hidden="1" x14ac:dyDescent="0.35">
      <c r="A34" s="90" t="s">
        <v>33</v>
      </c>
      <c r="B34" s="109">
        <v>0</v>
      </c>
      <c r="C34" s="112">
        <v>0</v>
      </c>
      <c r="D34" s="110" t="e">
        <f t="shared" si="5"/>
        <v>#DIV/0!</v>
      </c>
      <c r="E34" s="109">
        <v>0</v>
      </c>
      <c r="F34" s="112">
        <v>0</v>
      </c>
      <c r="G34" s="112">
        <f t="shared" si="7"/>
        <v>0</v>
      </c>
      <c r="H34" s="113" t="e">
        <f t="shared" si="2"/>
        <v>#DIV/0!</v>
      </c>
      <c r="I34" s="113" t="e">
        <f t="shared" si="3"/>
        <v>#DIV/0!</v>
      </c>
      <c r="J34" s="114">
        <f t="shared" si="4"/>
        <v>0</v>
      </c>
      <c r="K34" s="115"/>
      <c r="L34" s="117"/>
      <c r="M34" s="115"/>
      <c r="N34" s="117"/>
    </row>
    <row r="35" spans="1:14" x14ac:dyDescent="0.35">
      <c r="A35" s="90" t="s">
        <v>70</v>
      </c>
      <c r="B35" s="109">
        <v>2649</v>
      </c>
      <c r="C35" s="112">
        <v>63576</v>
      </c>
      <c r="D35" s="110">
        <f t="shared" si="5"/>
        <v>0.75577746077032815</v>
      </c>
      <c r="E35" s="109">
        <v>856</v>
      </c>
      <c r="F35" s="112">
        <v>15408</v>
      </c>
      <c r="G35" s="112">
        <f t="shared" si="7"/>
        <v>78984</v>
      </c>
      <c r="H35" s="113">
        <f t="shared" si="2"/>
        <v>2.5968413804958384E-2</v>
      </c>
      <c r="I35" s="113">
        <f t="shared" si="3"/>
        <v>3.2262004466635727E-2</v>
      </c>
      <c r="J35" s="114">
        <f t="shared" si="4"/>
        <v>2448204.9800000051</v>
      </c>
      <c r="K35" s="115">
        <v>9344</v>
      </c>
      <c r="L35" s="116">
        <v>1158749</v>
      </c>
      <c r="M35" s="115">
        <v>10398</v>
      </c>
      <c r="N35" s="116">
        <v>1289455.9800000049</v>
      </c>
    </row>
    <row r="36" spans="1:14" x14ac:dyDescent="0.35">
      <c r="A36" s="90" t="s">
        <v>50</v>
      </c>
      <c r="B36" s="109">
        <v>26213</v>
      </c>
      <c r="C36" s="112">
        <v>58979.25</v>
      </c>
      <c r="D36" s="110">
        <f t="shared" si="5"/>
        <v>0.86600151970663053</v>
      </c>
      <c r="E36" s="109">
        <v>4056</v>
      </c>
      <c r="F36" s="112">
        <v>6084</v>
      </c>
      <c r="G36" s="112">
        <f t="shared" si="7"/>
        <v>65063.25</v>
      </c>
      <c r="H36" s="113">
        <f t="shared" si="2"/>
        <v>1.6893334753885565E-2</v>
      </c>
      <c r="I36" s="113">
        <f t="shared" si="3"/>
        <v>1.8635965401827676E-2</v>
      </c>
      <c r="J36" s="114">
        <f t="shared" si="4"/>
        <v>3491273.3843999882</v>
      </c>
      <c r="K36" s="115">
        <v>56184</v>
      </c>
      <c r="L36" s="116">
        <v>1793966</v>
      </c>
      <c r="M36" s="115">
        <v>53157.137000000002</v>
      </c>
      <c r="N36" s="116">
        <v>1697307.3843999882</v>
      </c>
    </row>
    <row r="37" spans="1:14" x14ac:dyDescent="0.35">
      <c r="A37" s="90" t="s">
        <v>52</v>
      </c>
      <c r="B37" s="109">
        <v>809</v>
      </c>
      <c r="C37" s="112">
        <v>39641</v>
      </c>
      <c r="D37" s="110">
        <f t="shared" si="5"/>
        <v>0.73478655767484102</v>
      </c>
      <c r="E37" s="109">
        <v>292</v>
      </c>
      <c r="F37" s="112">
        <v>10220</v>
      </c>
      <c r="G37" s="112">
        <f t="shared" si="7"/>
        <v>49861</v>
      </c>
      <c r="H37" s="113">
        <f t="shared" si="2"/>
        <v>2.8488474460554487E-2</v>
      </c>
      <c r="I37" s="113">
        <f t="shared" si="3"/>
        <v>3.5833198584236198E-2</v>
      </c>
      <c r="J37" s="114">
        <f t="shared" si="4"/>
        <v>1391474.9999999981</v>
      </c>
      <c r="K37" s="115">
        <v>1317</v>
      </c>
      <c r="L37" s="116">
        <v>804819</v>
      </c>
      <c r="M37" s="115">
        <v>960</v>
      </c>
      <c r="N37" s="116">
        <v>586655.99999999802</v>
      </c>
    </row>
    <row r="38" spans="1:14" x14ac:dyDescent="0.35">
      <c r="A38" s="90" t="s">
        <v>74</v>
      </c>
      <c r="B38" s="109">
        <v>5134</v>
      </c>
      <c r="C38" s="112">
        <v>33371</v>
      </c>
      <c r="D38" s="110">
        <f t="shared" si="5"/>
        <v>0.61323459149546111</v>
      </c>
      <c r="E38" s="109">
        <v>3238</v>
      </c>
      <c r="F38" s="112">
        <v>12952</v>
      </c>
      <c r="G38" s="112">
        <f t="shared" si="7"/>
        <v>46323</v>
      </c>
      <c r="H38" s="118">
        <f t="shared" si="2"/>
        <v>1.348998088156852E-2</v>
      </c>
      <c r="I38" s="118">
        <f t="shared" si="3"/>
        <v>1.8725731454763073E-2</v>
      </c>
      <c r="J38" s="114">
        <f t="shared" si="4"/>
        <v>2473761.8454000251</v>
      </c>
      <c r="K38" s="115">
        <v>12081</v>
      </c>
      <c r="L38" s="116">
        <v>1380195</v>
      </c>
      <c r="M38" s="115">
        <v>9496.0649999999987</v>
      </c>
      <c r="N38" s="116">
        <v>1093566.8454000251</v>
      </c>
    </row>
    <row r="39" spans="1:14" x14ac:dyDescent="0.35">
      <c r="A39" s="97" t="s">
        <v>30</v>
      </c>
      <c r="B39" s="109">
        <v>2555</v>
      </c>
      <c r="C39" s="112">
        <v>35770</v>
      </c>
      <c r="D39" s="110">
        <f t="shared" si="5"/>
        <v>0.72318143221058595</v>
      </c>
      <c r="E39" s="109">
        <v>978</v>
      </c>
      <c r="F39" s="112">
        <v>9780</v>
      </c>
      <c r="G39" s="112">
        <f t="shared" si="7"/>
        <v>45550</v>
      </c>
      <c r="H39" s="118">
        <f t="shared" si="2"/>
        <v>6.5080916789544523E-3</v>
      </c>
      <c r="I39" s="118">
        <f t="shared" si="3"/>
        <v>8.287491640379516E-3</v>
      </c>
      <c r="J39" s="114">
        <f t="shared" si="4"/>
        <v>5496234.8049999466</v>
      </c>
      <c r="K39" s="115">
        <v>8745</v>
      </c>
      <c r="L39" s="116">
        <v>2939638</v>
      </c>
      <c r="M39" s="115">
        <v>7605.75</v>
      </c>
      <c r="N39" s="116">
        <v>2556596.8049999466</v>
      </c>
    </row>
    <row r="40" spans="1:14" x14ac:dyDescent="0.35">
      <c r="A40" s="90" t="s">
        <v>69</v>
      </c>
      <c r="B40" s="109">
        <v>854</v>
      </c>
      <c r="C40" s="112">
        <v>25620</v>
      </c>
      <c r="D40" s="110">
        <f t="shared" si="5"/>
        <v>0.64114114114114118</v>
      </c>
      <c r="E40" s="109">
        <v>478</v>
      </c>
      <c r="F40" s="112">
        <v>9560</v>
      </c>
      <c r="G40" s="112">
        <f t="shared" si="7"/>
        <v>35180</v>
      </c>
      <c r="H40" s="113">
        <f t="shared" si="2"/>
        <v>9.563754559261603E-3</v>
      </c>
      <c r="I40" s="113">
        <f t="shared" si="3"/>
        <v>1.313243112391972E-2</v>
      </c>
      <c r="J40" s="114">
        <f t="shared" si="4"/>
        <v>2678864.2307000048</v>
      </c>
      <c r="K40" s="115">
        <v>2720</v>
      </c>
      <c r="L40" s="116">
        <v>1337722</v>
      </c>
      <c r="M40" s="115">
        <v>2726.453</v>
      </c>
      <c r="N40" s="116">
        <v>1341142.2307000046</v>
      </c>
    </row>
    <row r="41" spans="1:14" x14ac:dyDescent="0.35">
      <c r="A41" s="97" t="s">
        <v>56</v>
      </c>
      <c r="B41" s="109">
        <v>5661</v>
      </c>
      <c r="C41" s="112">
        <v>14152.5</v>
      </c>
      <c r="D41" s="110">
        <f t="shared" si="5"/>
        <v>0.62421435659940461</v>
      </c>
      <c r="E41" s="109">
        <v>3408</v>
      </c>
      <c r="F41" s="112">
        <v>5112</v>
      </c>
      <c r="G41" s="112">
        <f t="shared" si="7"/>
        <v>19264.5</v>
      </c>
      <c r="H41" s="118">
        <f t="shared" si="2"/>
        <v>5.5755099624192374E-3</v>
      </c>
      <c r="I41" s="118">
        <f t="shared" si="3"/>
        <v>7.5894302540911781E-3</v>
      </c>
      <c r="J41" s="114">
        <f t="shared" si="4"/>
        <v>2538332.8333000001</v>
      </c>
      <c r="K41" s="115">
        <v>12909</v>
      </c>
      <c r="L41" s="116">
        <v>1272681</v>
      </c>
      <c r="M41" s="115">
        <v>12869.157999999941</v>
      </c>
      <c r="N41" s="116">
        <v>1265651.8333000001</v>
      </c>
    </row>
    <row r="42" spans="1:14" x14ac:dyDescent="0.35">
      <c r="A42" s="97" t="s">
        <v>59</v>
      </c>
      <c r="B42" s="109">
        <v>24103</v>
      </c>
      <c r="C42" s="112">
        <v>12051.5</v>
      </c>
      <c r="D42" s="110">
        <f t="shared" si="5"/>
        <v>0.83979652276924144</v>
      </c>
      <c r="E42" s="109">
        <v>4598</v>
      </c>
      <c r="F42" s="112">
        <v>1839.2</v>
      </c>
      <c r="G42" s="112">
        <f t="shared" si="7"/>
        <v>13890.7</v>
      </c>
      <c r="H42" s="118">
        <f t="shared" si="2"/>
        <v>4.9871239944426242E-3</v>
      </c>
      <c r="I42" s="118">
        <f t="shared" si="3"/>
        <v>5.7482175056718385E-3</v>
      </c>
      <c r="J42" s="114">
        <f t="shared" si="4"/>
        <v>2416523.0327999718</v>
      </c>
      <c r="K42" s="115">
        <v>196534</v>
      </c>
      <c r="L42" s="116">
        <v>1185102</v>
      </c>
      <c r="M42" s="115">
        <v>204215.76</v>
      </c>
      <c r="N42" s="116">
        <v>1231421.0327999718</v>
      </c>
    </row>
    <row r="43" spans="1:14" x14ac:dyDescent="0.35">
      <c r="A43" s="90" t="s">
        <v>72</v>
      </c>
      <c r="B43" s="109">
        <v>5264</v>
      </c>
      <c r="C43" s="112">
        <v>11317.6</v>
      </c>
      <c r="D43" s="110">
        <f t="shared" si="5"/>
        <v>0.76300913175822582</v>
      </c>
      <c r="E43" s="109">
        <v>1635</v>
      </c>
      <c r="F43" s="112">
        <v>2452.5</v>
      </c>
      <c r="G43" s="112">
        <f t="shared" si="7"/>
        <v>13770.1</v>
      </c>
      <c r="H43" s="113">
        <f t="shared" si="2"/>
        <v>8.2536620410978926E-3</v>
      </c>
      <c r="I43" s="113">
        <f t="shared" si="3"/>
        <v>1.0042213161105012E-2</v>
      </c>
      <c r="J43" s="114">
        <f t="shared" si="4"/>
        <v>1371221.6400000001</v>
      </c>
      <c r="K43" s="115">
        <v>553900</v>
      </c>
      <c r="L43" s="116">
        <v>631446</v>
      </c>
      <c r="M43" s="115">
        <v>648926</v>
      </c>
      <c r="N43" s="116">
        <v>739775.64</v>
      </c>
    </row>
    <row r="44" spans="1:14" x14ac:dyDescent="0.35">
      <c r="A44" s="90" t="s">
        <v>58</v>
      </c>
      <c r="B44" s="109">
        <v>1406</v>
      </c>
      <c r="C44" s="112">
        <v>2601.1</v>
      </c>
      <c r="D44" s="110">
        <f t="shared" si="5"/>
        <v>0.36060528340600156</v>
      </c>
      <c r="E44" s="109">
        <v>2493</v>
      </c>
      <c r="F44" s="112">
        <v>3739.5</v>
      </c>
      <c r="G44" s="112">
        <f t="shared" si="7"/>
        <v>6340.6</v>
      </c>
      <c r="H44" s="113">
        <f t="shared" si="2"/>
        <v>3.6895611848951431E-3</v>
      </c>
      <c r="I44" s="113">
        <f t="shared" si="3"/>
        <v>8.993899369092364E-3</v>
      </c>
      <c r="J44" s="114">
        <f t="shared" si="4"/>
        <v>704988.98639999726</v>
      </c>
      <c r="K44" s="115">
        <v>5674</v>
      </c>
      <c r="L44" s="116">
        <v>345111</v>
      </c>
      <c r="M44" s="115">
        <v>5917.0979999997462</v>
      </c>
      <c r="N44" s="116">
        <v>359877.98639999726</v>
      </c>
    </row>
    <row r="45" spans="1:14" x14ac:dyDescent="0.35">
      <c r="A45" s="90" t="s">
        <v>25</v>
      </c>
      <c r="B45" s="109">
        <v>1080</v>
      </c>
      <c r="C45" s="112">
        <v>4860</v>
      </c>
      <c r="D45" s="110">
        <f t="shared" si="5"/>
        <v>0.68965517241379315</v>
      </c>
      <c r="E45" s="109">
        <v>486</v>
      </c>
      <c r="F45" s="112">
        <v>1458</v>
      </c>
      <c r="G45" s="112">
        <f t="shared" si="7"/>
        <v>6318</v>
      </c>
      <c r="H45" s="113">
        <f t="shared" si="2"/>
        <v>2.7085361321896677E-3</v>
      </c>
      <c r="I45" s="113">
        <f t="shared" si="3"/>
        <v>3.5210969718465681E-3</v>
      </c>
      <c r="J45" s="114">
        <f t="shared" si="4"/>
        <v>1794327.1800000023</v>
      </c>
      <c r="K45" s="115">
        <v>9072</v>
      </c>
      <c r="L45" s="116">
        <v>910920</v>
      </c>
      <c r="M45" s="115">
        <v>8798</v>
      </c>
      <c r="N45" s="116">
        <v>883407.18000000226</v>
      </c>
    </row>
    <row r="46" spans="1:14" x14ac:dyDescent="0.35">
      <c r="A46" s="90" t="s">
        <v>55</v>
      </c>
      <c r="B46" s="109">
        <v>4685</v>
      </c>
      <c r="C46" s="112">
        <v>3748</v>
      </c>
      <c r="D46" s="110">
        <f t="shared" si="5"/>
        <v>0.65995210593041276</v>
      </c>
      <c r="E46" s="109">
        <v>2414</v>
      </c>
      <c r="F46" s="112">
        <v>1448.3999999999999</v>
      </c>
      <c r="G46" s="112">
        <f t="shared" si="7"/>
        <v>5196.3999999999996</v>
      </c>
      <c r="H46" s="113">
        <f t="shared" si="2"/>
        <v>9.6518900309426805E-3</v>
      </c>
      <c r="I46" s="113">
        <f t="shared" si="3"/>
        <v>1.3381825335322983E-2</v>
      </c>
      <c r="J46" s="114">
        <f t="shared" si="4"/>
        <v>388317.72720000008</v>
      </c>
      <c r="K46" s="115">
        <v>11892</v>
      </c>
      <c r="L46" s="116">
        <v>181717</v>
      </c>
      <c r="M46" s="115">
        <v>13520.99</v>
      </c>
      <c r="N46" s="116">
        <v>206600.72720000011</v>
      </c>
    </row>
    <row r="47" spans="1:14" x14ac:dyDescent="0.35">
      <c r="A47" s="97" t="s">
        <v>62</v>
      </c>
      <c r="B47" s="109">
        <v>290</v>
      </c>
      <c r="C47" s="112">
        <v>2320</v>
      </c>
      <c r="D47" s="110">
        <f t="shared" si="5"/>
        <v>0.58943089430894313</v>
      </c>
      <c r="E47" s="109">
        <v>202</v>
      </c>
      <c r="F47" s="112">
        <v>1212</v>
      </c>
      <c r="G47" s="112">
        <f t="shared" si="7"/>
        <v>3532</v>
      </c>
      <c r="H47" s="118">
        <f t="shared" si="2"/>
        <v>2.0638046559077212E-3</v>
      </c>
      <c r="I47" s="118">
        <f t="shared" si="3"/>
        <v>3.1419646744250307E-3</v>
      </c>
      <c r="J47" s="114">
        <f t="shared" si="4"/>
        <v>1124137.3999999999</v>
      </c>
      <c r="K47" s="115">
        <v>2648</v>
      </c>
      <c r="L47" s="116">
        <v>529235</v>
      </c>
      <c r="M47" s="115">
        <v>2976</v>
      </c>
      <c r="N47" s="116">
        <v>594902.4</v>
      </c>
    </row>
    <row r="48" spans="1:14" ht="13.75" hidden="1" customHeight="1" x14ac:dyDescent="0.35">
      <c r="A48" s="89" t="s">
        <v>66</v>
      </c>
      <c r="B48" s="109">
        <v>0</v>
      </c>
      <c r="C48" s="112">
        <v>0</v>
      </c>
      <c r="D48" s="110">
        <f t="shared" si="5"/>
        <v>0</v>
      </c>
      <c r="E48" s="109">
        <v>240</v>
      </c>
      <c r="F48" s="112">
        <v>19.2</v>
      </c>
      <c r="G48" s="112">
        <f t="shared" si="7"/>
        <v>19.2</v>
      </c>
      <c r="H48" s="113" t="e">
        <f t="shared" si="2"/>
        <v>#DIV/0!</v>
      </c>
      <c r="I48" s="113" t="e">
        <f t="shared" si="3"/>
        <v>#DIV/0!</v>
      </c>
      <c r="J48" s="114">
        <f t="shared" si="4"/>
        <v>0</v>
      </c>
      <c r="K48" s="115"/>
      <c r="L48" s="117"/>
      <c r="M48" s="115"/>
      <c r="N48" s="117"/>
    </row>
    <row r="49" spans="1:14" hidden="1" x14ac:dyDescent="0.35">
      <c r="A49" s="89" t="s">
        <v>67</v>
      </c>
      <c r="B49" s="109">
        <v>692</v>
      </c>
      <c r="C49" s="112">
        <v>179.92000000000002</v>
      </c>
      <c r="D49" s="110">
        <f t="shared" si="5"/>
        <v>0.92021276595744683</v>
      </c>
      <c r="E49" s="109">
        <v>60</v>
      </c>
      <c r="F49" s="112">
        <v>10.200000000000001</v>
      </c>
      <c r="G49" s="112">
        <f t="shared" si="7"/>
        <v>190.12</v>
      </c>
      <c r="H49" s="113" t="e">
        <f t="shared" si="2"/>
        <v>#DIV/0!</v>
      </c>
      <c r="I49" s="113" t="e">
        <f t="shared" si="3"/>
        <v>#DIV/0!</v>
      </c>
      <c r="J49" s="114">
        <f t="shared" si="4"/>
        <v>0</v>
      </c>
      <c r="K49" s="115"/>
      <c r="L49" s="117"/>
      <c r="M49" s="115"/>
      <c r="N49" s="117"/>
    </row>
    <row r="50" spans="1:14" hidden="1" x14ac:dyDescent="0.35">
      <c r="A50" s="89" t="s">
        <v>68</v>
      </c>
      <c r="B50" s="109">
        <v>40</v>
      </c>
      <c r="C50" s="112">
        <v>13.200000000000001</v>
      </c>
      <c r="D50" s="110">
        <f t="shared" si="5"/>
        <v>1</v>
      </c>
      <c r="E50" s="109"/>
      <c r="F50" s="112">
        <v>0</v>
      </c>
      <c r="G50" s="112">
        <f t="shared" si="7"/>
        <v>13.200000000000001</v>
      </c>
      <c r="H50" s="113" t="e">
        <f t="shared" si="2"/>
        <v>#DIV/0!</v>
      </c>
      <c r="I50" s="113" t="e">
        <f t="shared" si="3"/>
        <v>#DIV/0!</v>
      </c>
      <c r="J50" s="114">
        <f t="shared" si="4"/>
        <v>0</v>
      </c>
      <c r="K50" s="115"/>
      <c r="L50" s="117"/>
      <c r="M50" s="115"/>
      <c r="N50" s="117"/>
    </row>
    <row r="51" spans="1:14" hidden="1" x14ac:dyDescent="0.35">
      <c r="A51" s="89" t="s">
        <v>65</v>
      </c>
      <c r="B51" s="109">
        <v>374</v>
      </c>
      <c r="C51" s="112">
        <v>29.92</v>
      </c>
      <c r="D51" s="110">
        <f t="shared" si="5"/>
        <v>0.96143958868894597</v>
      </c>
      <c r="E51" s="109">
        <v>15</v>
      </c>
      <c r="F51" s="112">
        <v>0.75</v>
      </c>
      <c r="G51" s="112">
        <f t="shared" si="7"/>
        <v>30.67</v>
      </c>
      <c r="H51" s="113" t="e">
        <f t="shared" si="2"/>
        <v>#DIV/0!</v>
      </c>
      <c r="I51" s="113" t="e">
        <f t="shared" si="3"/>
        <v>#DIV/0!</v>
      </c>
      <c r="J51" s="114">
        <f t="shared" si="4"/>
        <v>0</v>
      </c>
      <c r="K51" s="115"/>
      <c r="L51" s="117"/>
      <c r="M51" s="115"/>
      <c r="N51" s="117"/>
    </row>
    <row r="52" spans="1:14" x14ac:dyDescent="0.35">
      <c r="A52" s="90" t="s">
        <v>57</v>
      </c>
      <c r="B52" s="109">
        <v>677</v>
      </c>
      <c r="C52" s="112">
        <v>1089.97</v>
      </c>
      <c r="D52" s="110">
        <f t="shared" si="5"/>
        <v>0.45774171737660579</v>
      </c>
      <c r="E52" s="109">
        <v>802</v>
      </c>
      <c r="F52" s="112">
        <v>1042.6000000000001</v>
      </c>
      <c r="G52" s="112">
        <f t="shared" si="7"/>
        <v>2132.5700000000002</v>
      </c>
      <c r="H52" s="113"/>
      <c r="I52" s="113"/>
      <c r="J52" s="114"/>
      <c r="K52" s="115"/>
      <c r="L52" s="117"/>
      <c r="M52" s="115"/>
      <c r="N52" s="117"/>
    </row>
    <row r="53" spans="1:14" x14ac:dyDescent="0.35">
      <c r="A53" s="97" t="s">
        <v>71</v>
      </c>
      <c r="B53" s="109">
        <v>66</v>
      </c>
      <c r="C53" s="112">
        <v>924</v>
      </c>
      <c r="D53" s="110">
        <f t="shared" si="5"/>
        <v>0.69473684210526321</v>
      </c>
      <c r="E53" s="109">
        <v>29</v>
      </c>
      <c r="F53" s="112">
        <v>290</v>
      </c>
      <c r="G53" s="112">
        <f t="shared" si="7"/>
        <v>1214</v>
      </c>
      <c r="H53" s="118">
        <f t="shared" ref="H53:H58" si="8">C53/J53</f>
        <v>1.3255187737445068E-3</v>
      </c>
      <c r="I53" s="118">
        <f t="shared" ref="I53:I58" si="9">G53/J53</f>
        <v>1.7415365706989515E-3</v>
      </c>
      <c r="J53" s="114">
        <f t="shared" ref="J53:J58" si="10">N53+L53</f>
        <v>697085.56250000023</v>
      </c>
      <c r="K53" s="115">
        <v>812</v>
      </c>
      <c r="L53" s="116">
        <v>360242</v>
      </c>
      <c r="M53" s="115">
        <v>759.375</v>
      </c>
      <c r="N53" s="116">
        <v>336843.56250000017</v>
      </c>
    </row>
    <row r="54" spans="1:14" x14ac:dyDescent="0.35">
      <c r="A54" s="90" t="s">
        <v>175</v>
      </c>
      <c r="B54" s="109">
        <v>1106</v>
      </c>
      <c r="C54" s="112">
        <v>223.04000000000002</v>
      </c>
      <c r="D54" s="110">
        <f t="shared" si="5"/>
        <v>0.77832512315270941</v>
      </c>
      <c r="E54" s="109">
        <v>315</v>
      </c>
      <c r="F54" s="112">
        <v>30.15</v>
      </c>
      <c r="G54" s="112">
        <v>253.19</v>
      </c>
      <c r="H54" s="113">
        <f t="shared" si="8"/>
        <v>7.677809127450117E-5</v>
      </c>
      <c r="I54" s="113">
        <f t="shared" si="9"/>
        <v>8.7156765287800162E-5</v>
      </c>
      <c r="J54" s="114">
        <f t="shared" si="10"/>
        <v>2904995.374299882</v>
      </c>
      <c r="K54" s="115">
        <v>5690</v>
      </c>
      <c r="L54" s="116">
        <v>1316170</v>
      </c>
      <c r="M54" s="115">
        <v>6869.1110000004637</v>
      </c>
      <c r="N54" s="116">
        <v>1588825.3742998817</v>
      </c>
    </row>
    <row r="55" spans="1:14" x14ac:dyDescent="0.35">
      <c r="A55" s="90" t="s">
        <v>63</v>
      </c>
      <c r="B55" s="109">
        <v>700</v>
      </c>
      <c r="C55" s="112">
        <v>140</v>
      </c>
      <c r="D55" s="110">
        <f t="shared" si="5"/>
        <v>0.73298429319371727</v>
      </c>
      <c r="E55" s="109">
        <v>255</v>
      </c>
      <c r="F55" s="112">
        <v>38.25</v>
      </c>
      <c r="G55" s="112">
        <f>SUM(C55+F55)</f>
        <v>178.25</v>
      </c>
      <c r="H55" s="113">
        <f t="shared" si="8"/>
        <v>5.4484587477729397E-4</v>
      </c>
      <c r="I55" s="113">
        <f t="shared" si="9"/>
        <v>6.9370555127894749E-4</v>
      </c>
      <c r="J55" s="114">
        <f t="shared" si="10"/>
        <v>256953.40000000014</v>
      </c>
      <c r="K55" s="115">
        <v>35352</v>
      </c>
      <c r="L55" s="116">
        <v>127267</v>
      </c>
      <c r="M55" s="115">
        <v>36024</v>
      </c>
      <c r="N55" s="116">
        <v>129686.40000000014</v>
      </c>
    </row>
    <row r="56" spans="1:14" x14ac:dyDescent="0.35">
      <c r="A56" s="90" t="s">
        <v>64</v>
      </c>
      <c r="B56" s="109">
        <v>18</v>
      </c>
      <c r="C56" s="112">
        <v>11.700000000000001</v>
      </c>
      <c r="D56" s="110">
        <f t="shared" si="5"/>
        <v>9.6774193548387094E-2</v>
      </c>
      <c r="E56" s="109">
        <v>168</v>
      </c>
      <c r="F56" s="112">
        <v>84</v>
      </c>
      <c r="G56" s="112">
        <f>SUM(C56+F56)</f>
        <v>95.7</v>
      </c>
      <c r="H56" s="113">
        <f t="shared" si="8"/>
        <v>2.9873352305890963E-5</v>
      </c>
      <c r="I56" s="113">
        <f t="shared" si="9"/>
        <v>2.4434870219433889E-4</v>
      </c>
      <c r="J56" s="114">
        <f t="shared" si="10"/>
        <v>391653.39999999886</v>
      </c>
      <c r="K56" s="115">
        <v>13233</v>
      </c>
      <c r="L56" s="116">
        <v>209206</v>
      </c>
      <c r="M56" s="115">
        <v>11540</v>
      </c>
      <c r="N56" s="116">
        <v>182447.39999999883</v>
      </c>
    </row>
    <row r="57" spans="1:14" x14ac:dyDescent="0.35">
      <c r="A57" s="90" t="s">
        <v>60</v>
      </c>
      <c r="B57" s="109"/>
      <c r="C57" s="112">
        <v>0</v>
      </c>
      <c r="D57" s="110">
        <f t="shared" si="5"/>
        <v>0</v>
      </c>
      <c r="E57" s="109">
        <v>190</v>
      </c>
      <c r="F57" s="112">
        <v>66.5</v>
      </c>
      <c r="G57" s="112">
        <f>SUM(C57+F57)</f>
        <v>66.5</v>
      </c>
      <c r="H57" s="113" t="e">
        <f t="shared" si="8"/>
        <v>#DIV/0!</v>
      </c>
      <c r="I57" s="113" t="e">
        <f t="shared" si="9"/>
        <v>#DIV/0!</v>
      </c>
      <c r="J57" s="114">
        <f t="shared" si="10"/>
        <v>0</v>
      </c>
      <c r="K57" s="115"/>
      <c r="L57" s="117"/>
      <c r="M57" s="115"/>
      <c r="N57" s="117"/>
    </row>
    <row r="58" spans="1:14" x14ac:dyDescent="0.35">
      <c r="A58" s="90" t="s">
        <v>176</v>
      </c>
      <c r="B58" s="109"/>
      <c r="C58" s="112"/>
      <c r="D58" s="110"/>
      <c r="E58" s="109"/>
      <c r="F58" s="112"/>
      <c r="G58" s="112"/>
      <c r="H58" s="113">
        <f t="shared" si="8"/>
        <v>0</v>
      </c>
      <c r="I58" s="113">
        <f t="shared" si="9"/>
        <v>0</v>
      </c>
      <c r="J58" s="114">
        <f t="shared" si="10"/>
        <v>1553514.92</v>
      </c>
      <c r="K58" s="115">
        <v>23470</v>
      </c>
      <c r="L58" s="116">
        <v>837887</v>
      </c>
      <c r="M58" s="115">
        <v>20045.599999999999</v>
      </c>
      <c r="N58" s="116">
        <v>715627.91999999993</v>
      </c>
    </row>
    <row r="59" spans="1:14" x14ac:dyDescent="0.35">
      <c r="B59" s="111"/>
      <c r="C59" s="111"/>
      <c r="D59" s="119"/>
      <c r="E59" s="111"/>
      <c r="F59" s="111"/>
      <c r="G59" s="111"/>
      <c r="H59" s="111"/>
      <c r="I59" s="111"/>
      <c r="J59" s="111"/>
      <c r="K59" s="111"/>
      <c r="M59" s="111"/>
    </row>
    <row r="60" spans="1:14" x14ac:dyDescent="0.35">
      <c r="B60" s="111"/>
      <c r="C60" s="111"/>
      <c r="D60" s="119"/>
      <c r="E60" s="111"/>
      <c r="F60" s="111"/>
      <c r="G60" s="111"/>
      <c r="H60" s="111"/>
      <c r="I60" s="111"/>
      <c r="J60" s="111"/>
      <c r="K60" s="111"/>
      <c r="M60" s="111"/>
    </row>
    <row r="61" spans="1:14" x14ac:dyDescent="0.35">
      <c r="B61" s="120" t="s">
        <v>166</v>
      </c>
      <c r="C61" s="120">
        <f>SUM(C6:C57)</f>
        <v>1721280.9299999997</v>
      </c>
      <c r="D61" s="121">
        <f>C61/G61</f>
        <v>0.71809679970334928</v>
      </c>
      <c r="E61" s="120"/>
      <c r="F61" s="120">
        <f>SUM(F6:F57)</f>
        <v>575723.11</v>
      </c>
      <c r="G61" s="120">
        <f>SUM(G6:G57)</f>
        <v>2397004.040000001</v>
      </c>
      <c r="H61" s="122">
        <f>C61/J61</f>
        <v>1.3919228182034157E-2</v>
      </c>
      <c r="I61" s="122">
        <f>G61/J61</f>
        <v>1.9383498419411262E-2</v>
      </c>
      <c r="J61" s="123">
        <f>SUM(J10:J58)</f>
        <v>123662095.87839745</v>
      </c>
      <c r="K61" s="123"/>
      <c r="L61" s="123">
        <f>SUM(L10:L58)</f>
        <v>61810904</v>
      </c>
      <c r="M61" s="123"/>
      <c r="N61" s="123">
        <f>SUM(N10:N58)</f>
        <v>61851191.878397427</v>
      </c>
    </row>
  </sheetData>
  <mergeCells count="1">
    <mergeCell ref="A1:A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3B760-53FB-4CCD-BF2C-F818CA45FA38}">
  <sheetPr codeName="Sheet11">
    <pageSetUpPr fitToPage="1"/>
  </sheetPr>
  <dimension ref="A1:Z76"/>
  <sheetViews>
    <sheetView showGridLines="0" tabSelected="1" zoomScale="80" zoomScaleNormal="80" workbookViewId="0">
      <pane xSplit="8" ySplit="2" topLeftCell="I3" activePane="bottomRight" state="frozen"/>
      <selection pane="topRight" activeCell="I1" sqref="I1"/>
      <selection pane="bottomLeft" activeCell="A3" sqref="A3"/>
      <selection pane="bottomRight" activeCell="N61" sqref="N61"/>
    </sheetView>
  </sheetViews>
  <sheetFormatPr defaultRowHeight="14.5" x14ac:dyDescent="0.35"/>
  <cols>
    <col min="1" max="1" width="43.7265625" customWidth="1"/>
    <col min="2" max="2" width="19.54296875" bestFit="1" customWidth="1"/>
    <col min="3" max="3" width="18.1796875" bestFit="1" customWidth="1"/>
    <col min="4" max="4" width="22.26953125" bestFit="1" customWidth="1"/>
    <col min="5" max="5" width="12.453125" customWidth="1"/>
    <col min="6" max="6" width="11.54296875" customWidth="1"/>
    <col min="7" max="7" width="10.453125" bestFit="1" customWidth="1"/>
    <col min="8" max="8" width="1.453125" customWidth="1"/>
    <col min="9" max="9" width="12.453125" customWidth="1"/>
    <col min="10" max="10" width="12.453125" style="390" customWidth="1"/>
    <col min="11" max="11" width="12.453125" customWidth="1"/>
    <col min="12" max="12" width="12.453125" style="390" customWidth="1"/>
    <col min="13" max="13" width="30.26953125" customWidth="1"/>
    <col min="14" max="14" width="13" bestFit="1" customWidth="1"/>
    <col min="15" max="15" width="7.7265625" hidden="1" customWidth="1"/>
    <col min="16" max="16" width="7.453125" hidden="1" customWidth="1"/>
    <col min="17" max="17" width="7.7265625" hidden="1" customWidth="1"/>
    <col min="18" max="18" width="17" hidden="1" customWidth="1"/>
    <col min="19" max="19" width="11.453125" hidden="1" customWidth="1"/>
    <col min="20" max="20" width="16" hidden="1" customWidth="1"/>
    <col min="21" max="21" width="15.26953125" hidden="1" customWidth="1"/>
    <col min="22" max="22" width="35.81640625" hidden="1" customWidth="1"/>
    <col min="23" max="23" width="11.453125" hidden="1" customWidth="1"/>
    <col min="24" max="24" width="10.81640625" hidden="1" customWidth="1"/>
    <col min="25" max="26" width="9.1796875" hidden="1" customWidth="1"/>
    <col min="27" max="27" width="8.7265625" customWidth="1"/>
  </cols>
  <sheetData>
    <row r="1" spans="1:24" ht="15" thickBot="1" x14ac:dyDescent="0.4">
      <c r="I1" s="573" t="s">
        <v>535</v>
      </c>
      <c r="J1" s="574"/>
      <c r="K1" s="575" t="s">
        <v>536</v>
      </c>
      <c r="L1" s="576"/>
    </row>
    <row r="2" spans="1:24" ht="44" thickBot="1" x14ac:dyDescent="0.4">
      <c r="A2" s="420" t="s">
        <v>305</v>
      </c>
      <c r="B2" s="423" t="s">
        <v>322</v>
      </c>
      <c r="C2" s="423" t="s">
        <v>2</v>
      </c>
      <c r="D2" s="571" t="s">
        <v>184</v>
      </c>
      <c r="E2" s="572"/>
      <c r="F2" s="422" t="s">
        <v>422</v>
      </c>
      <c r="G2" s="421" t="s">
        <v>423</v>
      </c>
      <c r="H2" s="397"/>
      <c r="I2" s="419" t="s">
        <v>469</v>
      </c>
      <c r="J2" s="488" t="s">
        <v>470</v>
      </c>
      <c r="K2" s="489" t="s">
        <v>469</v>
      </c>
      <c r="L2" s="490" t="s">
        <v>470</v>
      </c>
      <c r="M2" s="491" t="s">
        <v>471</v>
      </c>
      <c r="N2" s="459" t="s">
        <v>472</v>
      </c>
      <c r="O2" s="526" t="s">
        <v>537</v>
      </c>
      <c r="P2" s="526" t="s">
        <v>538</v>
      </c>
      <c r="Q2" s="526" t="s">
        <v>541</v>
      </c>
      <c r="R2" s="527" t="s">
        <v>564</v>
      </c>
      <c r="S2" s="486" t="s">
        <v>539</v>
      </c>
      <c r="T2" s="389" t="s">
        <v>489</v>
      </c>
      <c r="U2" s="389" t="s">
        <v>476</v>
      </c>
      <c r="V2" s="389" t="s">
        <v>475</v>
      </c>
      <c r="W2" s="389" t="s">
        <v>478</v>
      </c>
    </row>
    <row r="3" spans="1:24" ht="19" thickBot="1" x14ac:dyDescent="0.5">
      <c r="A3" s="521" t="s">
        <v>321</v>
      </c>
      <c r="B3" s="425"/>
      <c r="C3" s="425"/>
      <c r="D3" s="425"/>
      <c r="E3" s="425"/>
      <c r="F3" s="426"/>
      <c r="G3" s="427"/>
      <c r="H3" s="395"/>
      <c r="I3" s="428"/>
      <c r="J3" s="505"/>
      <c r="K3" s="428"/>
      <c r="L3" s="505"/>
      <c r="M3" s="426"/>
      <c r="N3" s="429"/>
      <c r="S3" s="515"/>
      <c r="T3" t="s">
        <v>482</v>
      </c>
      <c r="U3" t="s">
        <v>482</v>
      </c>
      <c r="V3" t="s">
        <v>480</v>
      </c>
      <c r="W3" t="s">
        <v>236</v>
      </c>
    </row>
    <row r="4" spans="1:24" ht="30.75" customHeight="1" x14ac:dyDescent="0.35">
      <c r="A4" s="437" t="s">
        <v>553</v>
      </c>
      <c r="B4" s="438" t="s">
        <v>440</v>
      </c>
      <c r="C4" s="439" t="s">
        <v>441</v>
      </c>
      <c r="D4" s="440" t="s">
        <v>426</v>
      </c>
      <c r="E4" s="441" t="s">
        <v>454</v>
      </c>
      <c r="F4" s="436">
        <v>65</v>
      </c>
      <c r="G4" s="442">
        <v>52</v>
      </c>
      <c r="H4" s="394"/>
      <c r="I4" s="461"/>
      <c r="J4" s="497"/>
      <c r="K4" s="461"/>
      <c r="L4" s="497"/>
      <c r="M4" s="493" t="str">
        <f t="shared" ref="M4:M13" si="0">IF(AND(O4=0,P4=0),"",IF(O4+P4&lt;1,"Does Not Meet","Min Met"))</f>
        <v/>
      </c>
      <c r="N4" s="399">
        <f t="shared" ref="N4:N13" si="1">IF(OR($M4="does not meet",$M4=""),0,(O4*F4)+(P4*G4))</f>
        <v>0</v>
      </c>
      <c r="O4">
        <f>IF(J4="bag",I4/8,IF(J4="case",I4/1,IF(J4="pound",I4/20,IF(J4="WSP",I4/64,0))))</f>
        <v>0</v>
      </c>
      <c r="P4">
        <f>IF(L4="bag",K4/8,IF(L4="case",K4/1,IF(L4="pound",K4/20,IF(L4="WSP",K4/64,0))))</f>
        <v>0</v>
      </c>
      <c r="Q4">
        <f>IF(OR(O4&gt;=1,P4&gt;=1,SUM(O4+P4)&gt;=1),1,0)</f>
        <v>0</v>
      </c>
      <c r="R4" s="215">
        <f>Q4</f>
        <v>0</v>
      </c>
      <c r="S4" s="515">
        <f>IF(M4="MIN MET",(O4+P4)*20,0)</f>
        <v>0</v>
      </c>
      <c r="T4" t="s">
        <v>236</v>
      </c>
      <c r="U4" t="s">
        <v>236</v>
      </c>
      <c r="V4" t="s">
        <v>484</v>
      </c>
      <c r="W4" t="s">
        <v>240</v>
      </c>
    </row>
    <row r="5" spans="1:24" ht="30.75" customHeight="1" x14ac:dyDescent="0.35">
      <c r="A5" s="443" t="s">
        <v>356</v>
      </c>
      <c r="B5" s="331" t="s">
        <v>442</v>
      </c>
      <c r="C5" s="328" t="s">
        <v>429</v>
      </c>
      <c r="D5" s="326" t="s">
        <v>241</v>
      </c>
      <c r="E5" s="322" t="s">
        <v>187</v>
      </c>
      <c r="F5" s="323">
        <v>50</v>
      </c>
      <c r="G5" s="414">
        <v>40</v>
      </c>
      <c r="H5" s="394"/>
      <c r="I5" s="461"/>
      <c r="J5" s="497"/>
      <c r="K5" s="461"/>
      <c r="L5" s="497"/>
      <c r="M5" s="492" t="str">
        <f t="shared" si="0"/>
        <v/>
      </c>
      <c r="N5" s="400">
        <f t="shared" si="1"/>
        <v>0</v>
      </c>
      <c r="O5">
        <f>IF(J5="bottle",I5/8,IF(J5="case",I5/2,IF(J5="gallon",I5/4,0)))</f>
        <v>0</v>
      </c>
      <c r="P5">
        <f>IF(L5="bottle",K5/8,IF(L5="case",K5/2,IF(L5="gallon",K5/4,0)))</f>
        <v>0</v>
      </c>
      <c r="Q5">
        <f t="shared" ref="Q5:Q13" si="2">IF(OR(O5&gt;=1,P5&gt;=1,SUM(O5+P5)&gt;=1),1,0)</f>
        <v>0</v>
      </c>
      <c r="S5" s="515">
        <f>IF(M5="MIN MET",(O5+P5)*4,0)</f>
        <v>0</v>
      </c>
      <c r="T5" t="s">
        <v>479</v>
      </c>
      <c r="U5" t="s">
        <v>479</v>
      </c>
      <c r="V5" t="s">
        <v>481</v>
      </c>
      <c r="W5" t="s">
        <v>474</v>
      </c>
    </row>
    <row r="6" spans="1:24" ht="30.75" customHeight="1" x14ac:dyDescent="0.35">
      <c r="A6" s="444" t="s">
        <v>355</v>
      </c>
      <c r="B6" s="332" t="s">
        <v>436</v>
      </c>
      <c r="C6" s="329" t="s">
        <v>431</v>
      </c>
      <c r="D6" s="327" t="s">
        <v>426</v>
      </c>
      <c r="E6" s="324" t="s">
        <v>188</v>
      </c>
      <c r="F6" s="325">
        <v>60</v>
      </c>
      <c r="G6" s="445">
        <v>48</v>
      </c>
      <c r="H6" s="394"/>
      <c r="I6" s="461"/>
      <c r="J6" s="497"/>
      <c r="K6" s="461"/>
      <c r="L6" s="497"/>
      <c r="M6" s="493" t="str">
        <f t="shared" si="0"/>
        <v/>
      </c>
      <c r="N6" s="399">
        <f t="shared" si="1"/>
        <v>0</v>
      </c>
      <c r="O6">
        <f>IF(J6="bottle",I6/2,IF(J6="case",I6/1,IF(J6="gallon",I6/5,0)))</f>
        <v>0</v>
      </c>
      <c r="P6">
        <f>IF(L6="bottle",K6/2,IF(L6="case",K6/1,IF(L6="gallon",K6/5,0)))</f>
        <v>0</v>
      </c>
      <c r="Q6">
        <f t="shared" si="2"/>
        <v>0</v>
      </c>
      <c r="S6" s="515">
        <f>IF(M6="MIN MET",(O6+P6)*5,0)</f>
        <v>0</v>
      </c>
      <c r="T6" t="s">
        <v>473</v>
      </c>
      <c r="V6" t="s">
        <v>485</v>
      </c>
    </row>
    <row r="7" spans="1:24" ht="29" x14ac:dyDescent="0.35">
      <c r="A7" s="443" t="s">
        <v>52</v>
      </c>
      <c r="B7" s="335" t="s">
        <v>444</v>
      </c>
      <c r="C7" s="337" t="s">
        <v>445</v>
      </c>
      <c r="D7" s="326" t="s">
        <v>359</v>
      </c>
      <c r="E7" s="322"/>
      <c r="F7" s="323">
        <v>55</v>
      </c>
      <c r="G7" s="414">
        <v>44</v>
      </c>
      <c r="H7" s="394"/>
      <c r="I7" s="461"/>
      <c r="J7" s="497"/>
      <c r="K7" s="461"/>
      <c r="L7" s="497"/>
      <c r="M7" s="492" t="str">
        <f t="shared" si="0"/>
        <v/>
      </c>
      <c r="N7" s="400">
        <f t="shared" si="1"/>
        <v>0</v>
      </c>
      <c r="O7">
        <f>IF(J7="value pak",I7/1,0)</f>
        <v>0</v>
      </c>
      <c r="P7">
        <f>IF(L7="value pak",K7/1,0)</f>
        <v>0</v>
      </c>
      <c r="Q7">
        <f t="shared" si="2"/>
        <v>0</v>
      </c>
      <c r="R7" s="215">
        <f>Q7</f>
        <v>0</v>
      </c>
      <c r="S7" s="515"/>
      <c r="V7" t="s">
        <v>240</v>
      </c>
    </row>
    <row r="8" spans="1:24" ht="30.75" customHeight="1" x14ac:dyDescent="0.35">
      <c r="A8" s="444" t="s">
        <v>550</v>
      </c>
      <c r="B8" s="332" t="s">
        <v>331</v>
      </c>
      <c r="C8" s="329" t="s">
        <v>446</v>
      </c>
      <c r="D8" s="327" t="s">
        <v>567</v>
      </c>
      <c r="E8" s="324" t="s">
        <v>568</v>
      </c>
      <c r="F8" s="325">
        <v>100</v>
      </c>
      <c r="G8" s="445">
        <v>80</v>
      </c>
      <c r="H8" s="394"/>
      <c r="I8" s="461"/>
      <c r="J8" s="497"/>
      <c r="K8" s="461"/>
      <c r="L8" s="497"/>
      <c r="M8" s="493" t="str">
        <f t="shared" si="0"/>
        <v/>
      </c>
      <c r="N8" s="399">
        <f t="shared" si="1"/>
        <v>0</v>
      </c>
      <c r="O8">
        <f>IF(J8="carton",I8/2,IF(J8="case",I8*3,IF(J8="pound",I8/8,IF(J8="bottle",I8/8,0))))</f>
        <v>0</v>
      </c>
      <c r="P8">
        <f>IF(L8="carton",K8/2,IF(L8="case",K8*3,IF(L8="pound",K8/8,IF(L8="bottle",K8/8,0))))</f>
        <v>0</v>
      </c>
      <c r="Q8">
        <f t="shared" si="2"/>
        <v>0</v>
      </c>
      <c r="S8" s="515"/>
      <c r="V8" t="s">
        <v>483</v>
      </c>
    </row>
    <row r="9" spans="1:24" ht="30.75" customHeight="1" x14ac:dyDescent="0.35">
      <c r="A9" s="443" t="s">
        <v>570</v>
      </c>
      <c r="B9" s="335" t="s">
        <v>336</v>
      </c>
      <c r="C9" s="337" t="s">
        <v>571</v>
      </c>
      <c r="D9" s="326" t="s">
        <v>572</v>
      </c>
      <c r="E9" s="322"/>
      <c r="F9" s="323">
        <v>150</v>
      </c>
      <c r="G9" s="414">
        <v>120</v>
      </c>
      <c r="H9" s="394"/>
      <c r="I9" s="461"/>
      <c r="J9" s="497"/>
      <c r="K9" s="461"/>
      <c r="L9" s="497"/>
      <c r="M9" s="492"/>
      <c r="N9" s="400">
        <f t="shared" si="1"/>
        <v>0</v>
      </c>
      <c r="O9">
        <f>IF(J9="bottle - gallon",I9/2,IF(J9="bottle - quart",I9/8,IF(J9="gallon",I9/2,IF(J9="quart",I9/8,0))))</f>
        <v>0</v>
      </c>
      <c r="P9">
        <f>IF(L9="bottle - gallon",K9/2,IF(L9="bottle - quart",K9/8,IF(L9="gallon",K9/2,IF(L9="quart",K9/8,0))))</f>
        <v>0</v>
      </c>
      <c r="Q9">
        <f t="shared" ref="Q9" si="3">IF(OR(O9&gt;=1,P9&gt;=1,SUM(O9+P9)&gt;=1),1,0)</f>
        <v>0</v>
      </c>
      <c r="R9" s="215">
        <f>Q9</f>
        <v>0</v>
      </c>
      <c r="S9" s="515"/>
    </row>
    <row r="10" spans="1:24" ht="30.75" customHeight="1" x14ac:dyDescent="0.35">
      <c r="A10" s="444" t="s">
        <v>573</v>
      </c>
      <c r="B10" s="332" t="s">
        <v>574</v>
      </c>
      <c r="C10" s="329" t="s">
        <v>431</v>
      </c>
      <c r="D10" s="327" t="s">
        <v>364</v>
      </c>
      <c r="E10" s="324"/>
      <c r="F10" s="325">
        <v>150</v>
      </c>
      <c r="G10" s="445">
        <v>120</v>
      </c>
      <c r="H10" s="394"/>
      <c r="I10" s="461"/>
      <c r="J10" s="497"/>
      <c r="K10" s="461"/>
      <c r="L10" s="497"/>
      <c r="M10" s="493" t="str">
        <f t="shared" si="0"/>
        <v/>
      </c>
      <c r="N10" s="399">
        <f t="shared" si="1"/>
        <v>0</v>
      </c>
      <c r="O10">
        <f>IF(J10="bottle - gallon",I10/2,IF(J10="bottle - quart",I10/8,IF(J10="gallon",I10/2,IF(J10="quart",I10/8,0))))</f>
        <v>0</v>
      </c>
      <c r="P10">
        <f>IF(L10="bottle - gallon",K10/2,IF(L10="bottle - quart",K10/8,IF(L10="gallon",K10/2,IF(L10="quart",K10/8,0))))</f>
        <v>0</v>
      </c>
      <c r="Q10">
        <f t="shared" si="2"/>
        <v>0</v>
      </c>
      <c r="R10" s="215">
        <f>Q10</f>
        <v>0</v>
      </c>
      <c r="S10" s="515"/>
      <c r="T10" s="389" t="s">
        <v>486</v>
      </c>
      <c r="U10" s="389"/>
      <c r="V10" s="389" t="s">
        <v>495</v>
      </c>
      <c r="W10" s="389" t="s">
        <v>488</v>
      </c>
      <c r="X10" s="389" t="s">
        <v>490</v>
      </c>
    </row>
    <row r="11" spans="1:24" ht="32.25" customHeight="1" x14ac:dyDescent="0.35">
      <c r="A11" s="443" t="s">
        <v>62</v>
      </c>
      <c r="B11" s="335" t="s">
        <v>436</v>
      </c>
      <c r="C11" s="337" t="s">
        <v>431</v>
      </c>
      <c r="D11" s="326" t="s">
        <v>426</v>
      </c>
      <c r="E11" s="322" t="s">
        <v>188</v>
      </c>
      <c r="F11" s="323">
        <v>80</v>
      </c>
      <c r="G11" s="414">
        <v>64</v>
      </c>
      <c r="H11" s="394"/>
      <c r="I11" s="461"/>
      <c r="J11" s="497"/>
      <c r="K11" s="461"/>
      <c r="L11" s="497"/>
      <c r="M11" s="492" t="str">
        <f t="shared" si="0"/>
        <v/>
      </c>
      <c r="N11" s="400">
        <f t="shared" si="1"/>
        <v>0</v>
      </c>
      <c r="O11">
        <f>IF(J11="bottle",I11/2,IF(J11="case",I11/1,IF(J11="gallon",I11/5,0)))</f>
        <v>0</v>
      </c>
      <c r="P11">
        <f>IF(L11="bottle",K11/2,IF(L11="case",K11/1,IF(L11="gallon",K11/5,0)))</f>
        <v>0</v>
      </c>
      <c r="Q11">
        <f t="shared" si="2"/>
        <v>0</v>
      </c>
      <c r="R11" s="215">
        <f>IF(OR(Q11&gt;=1,O55&gt;=1),1,0)</f>
        <v>0</v>
      </c>
      <c r="S11" s="515"/>
      <c r="T11" t="s">
        <v>557</v>
      </c>
      <c r="V11" t="s">
        <v>487</v>
      </c>
      <c r="W11" t="s">
        <v>236</v>
      </c>
      <c r="X11" t="s">
        <v>556</v>
      </c>
    </row>
    <row r="12" spans="1:24" ht="30.75" customHeight="1" x14ac:dyDescent="0.35">
      <c r="A12" s="444" t="s">
        <v>551</v>
      </c>
      <c r="B12" s="332" t="s">
        <v>344</v>
      </c>
      <c r="C12" s="329"/>
      <c r="D12" s="327" t="s">
        <v>186</v>
      </c>
      <c r="E12" s="324" t="s">
        <v>453</v>
      </c>
      <c r="F12" s="325">
        <v>55</v>
      </c>
      <c r="G12" s="445">
        <v>44</v>
      </c>
      <c r="H12" s="394"/>
      <c r="I12" s="461"/>
      <c r="J12" s="497"/>
      <c r="K12" s="461"/>
      <c r="L12" s="497"/>
      <c r="M12" s="493" t="str">
        <f t="shared" si="0"/>
        <v/>
      </c>
      <c r="N12" s="399">
        <f t="shared" si="1"/>
        <v>0</v>
      </c>
      <c r="O12">
        <f>IF(J12="bag",I12/10,IF(J12="pound",I12/500,0))</f>
        <v>0</v>
      </c>
      <c r="P12">
        <f>IF(L12="bag",K12/10,IF(L12="pound",K12/500,0))</f>
        <v>0</v>
      </c>
      <c r="Q12">
        <f t="shared" si="2"/>
        <v>0</v>
      </c>
      <c r="R12" s="215">
        <f>IF(OR(Q12&gt;=1,O56&gt;=1),1,0)</f>
        <v>0</v>
      </c>
      <c r="S12" s="515">
        <f>IF(M12="MIN MET",(O12+P12)*500,0)</f>
        <v>0</v>
      </c>
      <c r="T12" t="s">
        <v>236</v>
      </c>
      <c r="V12" t="s">
        <v>236</v>
      </c>
      <c r="W12" t="s">
        <v>240</v>
      </c>
    </row>
    <row r="13" spans="1:24" ht="30.5" customHeight="1" thickBot="1" x14ac:dyDescent="0.4">
      <c r="A13" s="443" t="s">
        <v>552</v>
      </c>
      <c r="B13" s="335" t="s">
        <v>346</v>
      </c>
      <c r="C13" s="337"/>
      <c r="D13" s="326" t="s">
        <v>192</v>
      </c>
      <c r="E13" s="322" t="s">
        <v>453</v>
      </c>
      <c r="F13" s="323">
        <v>55</v>
      </c>
      <c r="G13" s="414">
        <v>44</v>
      </c>
      <c r="H13" s="394"/>
      <c r="I13" s="461"/>
      <c r="J13" s="497"/>
      <c r="K13" s="461"/>
      <c r="L13" s="497"/>
      <c r="M13" s="492" t="str">
        <f t="shared" si="0"/>
        <v/>
      </c>
      <c r="N13" s="400">
        <f t="shared" si="1"/>
        <v>0</v>
      </c>
      <c r="O13">
        <f>IF(J13="bag",I13/20,IF(J13="pound",I13/500,0))</f>
        <v>0</v>
      </c>
      <c r="P13">
        <f>IF(L13="bag",K13/20,IF(L13="pound",K13/500,0))</f>
        <v>0</v>
      </c>
      <c r="Q13">
        <f t="shared" si="2"/>
        <v>0</v>
      </c>
      <c r="R13" s="215">
        <f>IF(OR(Q13&gt;=1,O57&gt;=1),1,0)</f>
        <v>0</v>
      </c>
      <c r="S13" s="515"/>
      <c r="T13" t="s">
        <v>479</v>
      </c>
      <c r="V13" t="s">
        <v>240</v>
      </c>
      <c r="W13" t="s">
        <v>474</v>
      </c>
    </row>
    <row r="14" spans="1:24" ht="19" thickBot="1" x14ac:dyDescent="0.5">
      <c r="A14" s="520" t="s">
        <v>319</v>
      </c>
      <c r="B14" s="405"/>
      <c r="C14" s="405"/>
      <c r="D14" s="405"/>
      <c r="E14" s="405"/>
      <c r="F14" s="403"/>
      <c r="G14" s="406"/>
      <c r="H14" s="395"/>
      <c r="I14" s="402"/>
      <c r="J14" s="504"/>
      <c r="K14" s="402"/>
      <c r="L14" s="504"/>
      <c r="M14" s="403"/>
      <c r="N14" s="404"/>
      <c r="S14" s="515"/>
    </row>
    <row r="15" spans="1:24" ht="30.75" customHeight="1" x14ac:dyDescent="0.35">
      <c r="A15" s="372" t="s">
        <v>542</v>
      </c>
      <c r="B15" s="331" t="s">
        <v>220</v>
      </c>
      <c r="C15" s="328" t="s">
        <v>429</v>
      </c>
      <c r="D15" s="326" t="s">
        <v>426</v>
      </c>
      <c r="E15" s="322" t="s">
        <v>187</v>
      </c>
      <c r="F15" s="323">
        <v>25</v>
      </c>
      <c r="G15" s="391">
        <v>20</v>
      </c>
      <c r="H15" s="394"/>
      <c r="I15" s="461"/>
      <c r="J15" s="497"/>
      <c r="K15" s="461"/>
      <c r="L15" s="497"/>
      <c r="M15" s="492" t="str">
        <f t="shared" ref="M15:M21" si="4">IF(AND(O15=0,P15=0),"",IF(O15+P15&lt;1,"Does Not Meet","Min Met"))</f>
        <v/>
      </c>
      <c r="N15" s="400">
        <f t="shared" ref="N15:N21" si="5">IF(OR($M15="does not meet",$M15=""),0,(O15*F15)+(P15*G15))</f>
        <v>0</v>
      </c>
      <c r="O15">
        <f>IF(J15="bottle",I15/4,IF(J15="case",I15/1,IF(J15="gallon",I15/4,0)))</f>
        <v>0</v>
      </c>
      <c r="P15">
        <f>IF(L15="bottle",K15/4,IF(L15="case",K15/1,IF(L15="gallon",K15/4,0)))</f>
        <v>0</v>
      </c>
      <c r="Q15">
        <f t="shared" ref="Q15:Q21" si="6">IF(OR(O15&gt;=1,P15&gt;=1,SUM(O15+P15)&gt;=1),1,0)</f>
        <v>0</v>
      </c>
      <c r="S15" s="515"/>
      <c r="T15" s="389" t="s">
        <v>491</v>
      </c>
      <c r="U15" s="389" t="s">
        <v>493</v>
      </c>
      <c r="V15" s="458" t="s">
        <v>496</v>
      </c>
      <c r="W15" s="389"/>
      <c r="X15" s="389"/>
    </row>
    <row r="16" spans="1:24" ht="30.75" customHeight="1" x14ac:dyDescent="0.35">
      <c r="A16" s="373" t="s">
        <v>32</v>
      </c>
      <c r="B16" s="332" t="s">
        <v>336</v>
      </c>
      <c r="C16" s="329" t="s">
        <v>430</v>
      </c>
      <c r="D16" s="327" t="s">
        <v>426</v>
      </c>
      <c r="E16" s="324" t="s">
        <v>220</v>
      </c>
      <c r="F16" s="325">
        <v>10</v>
      </c>
      <c r="G16" s="393">
        <v>8</v>
      </c>
      <c r="H16" s="394"/>
      <c r="I16" s="461"/>
      <c r="J16" s="497"/>
      <c r="K16" s="461"/>
      <c r="L16" s="497"/>
      <c r="M16" s="493" t="str">
        <f t="shared" si="4"/>
        <v/>
      </c>
      <c r="N16" s="399">
        <f t="shared" si="5"/>
        <v>0</v>
      </c>
      <c r="O16">
        <f>IF(J16="gallon",I16/1,IF(J16="case",I16/1,IF(J16="quart",I16/4,0)))</f>
        <v>0</v>
      </c>
      <c r="P16">
        <f>IF(L16="gallon",K16/1,IF(L16="case",K16/1,IF(L16="quart",K16/4,0)))</f>
        <v>0</v>
      </c>
      <c r="Q16">
        <f t="shared" si="6"/>
        <v>0</v>
      </c>
      <c r="R16" s="215">
        <f>Q16</f>
        <v>0</v>
      </c>
      <c r="S16" s="515">
        <f>IF(M16="MIN MET",(O16+P16)*4,0)</f>
        <v>0</v>
      </c>
      <c r="T16" t="s">
        <v>487</v>
      </c>
      <c r="U16" t="s">
        <v>480</v>
      </c>
      <c r="V16" t="s">
        <v>482</v>
      </c>
    </row>
    <row r="17" spans="1:22" ht="30.75" customHeight="1" x14ac:dyDescent="0.35">
      <c r="A17" s="372" t="s">
        <v>543</v>
      </c>
      <c r="B17" s="331" t="s">
        <v>436</v>
      </c>
      <c r="C17" s="328" t="s">
        <v>431</v>
      </c>
      <c r="D17" s="326" t="s">
        <v>426</v>
      </c>
      <c r="E17" s="322" t="s">
        <v>188</v>
      </c>
      <c r="F17" s="323">
        <v>10</v>
      </c>
      <c r="G17" s="391">
        <v>8</v>
      </c>
      <c r="H17" s="394"/>
      <c r="I17" s="461"/>
      <c r="J17" s="497"/>
      <c r="K17" s="461"/>
      <c r="L17" s="497"/>
      <c r="M17" s="492" t="str">
        <f t="shared" si="4"/>
        <v/>
      </c>
      <c r="N17" s="400">
        <f t="shared" si="5"/>
        <v>0</v>
      </c>
      <c r="O17">
        <f>IF(J17="bottle",I17/2,IF(J17="case",I17/1,IF(J17="gallon",I17/5,0)))</f>
        <v>0</v>
      </c>
      <c r="P17">
        <f>IF(L17="bottle",K17/2,IF(L17="case",K17/1,IF(L17="gallon",K17/5,0)))</f>
        <v>0</v>
      </c>
      <c r="Q17">
        <f t="shared" si="6"/>
        <v>0</v>
      </c>
      <c r="R17" s="215">
        <f>IF(OR(Q17&gt;=1,O54&gt;=1),1,0)</f>
        <v>0</v>
      </c>
      <c r="S17" s="515"/>
      <c r="T17" t="s">
        <v>492</v>
      </c>
      <c r="U17" t="s">
        <v>494</v>
      </c>
      <c r="V17" t="s">
        <v>479</v>
      </c>
    </row>
    <row r="18" spans="1:22" ht="30.75" customHeight="1" x14ac:dyDescent="0.35">
      <c r="A18" s="373" t="s">
        <v>69</v>
      </c>
      <c r="B18" s="332" t="s">
        <v>336</v>
      </c>
      <c r="C18" s="329" t="s">
        <v>432</v>
      </c>
      <c r="D18" s="327" t="s">
        <v>333</v>
      </c>
      <c r="E18" s="324"/>
      <c r="F18" s="325">
        <v>40</v>
      </c>
      <c r="G18" s="393">
        <v>32</v>
      </c>
      <c r="H18" s="394"/>
      <c r="I18" s="461"/>
      <c r="J18" s="497"/>
      <c r="K18" s="461"/>
      <c r="L18" s="497"/>
      <c r="M18" s="493" t="str">
        <f t="shared" si="4"/>
        <v/>
      </c>
      <c r="N18" s="399">
        <f t="shared" si="5"/>
        <v>0</v>
      </c>
      <c r="O18">
        <f>IF(J18="gallon",I18/1,IF(J18="case",I18/0.333333,IF(J18="quart",I18/4,0)))</f>
        <v>0</v>
      </c>
      <c r="P18">
        <f>IF(L18="gallon",K18/1,IF(L18="case",K18/0.333333,IF(L18="quart",K18/4,0)))</f>
        <v>0</v>
      </c>
      <c r="Q18">
        <f t="shared" si="6"/>
        <v>0</v>
      </c>
      <c r="R18" s="215">
        <f>Q18</f>
        <v>0</v>
      </c>
      <c r="S18" s="515"/>
      <c r="T18" t="s">
        <v>236</v>
      </c>
      <c r="U18" t="s">
        <v>240</v>
      </c>
    </row>
    <row r="19" spans="1:22" ht="30" customHeight="1" x14ac:dyDescent="0.35">
      <c r="A19" s="372" t="s">
        <v>544</v>
      </c>
      <c r="B19" s="331" t="s">
        <v>220</v>
      </c>
      <c r="C19" s="328" t="s">
        <v>429</v>
      </c>
      <c r="D19" s="326" t="s">
        <v>426</v>
      </c>
      <c r="E19" s="322" t="s">
        <v>187</v>
      </c>
      <c r="F19" s="323">
        <v>10</v>
      </c>
      <c r="G19" s="391">
        <v>8</v>
      </c>
      <c r="H19" s="394"/>
      <c r="I19" s="461"/>
      <c r="J19" s="497"/>
      <c r="K19" s="461"/>
      <c r="L19" s="497"/>
      <c r="M19" s="492" t="str">
        <f t="shared" si="4"/>
        <v/>
      </c>
      <c r="N19" s="400">
        <f t="shared" si="5"/>
        <v>0</v>
      </c>
      <c r="O19">
        <f>IF(J19="bottle",I19/4,IF(J19="case",I19/1,IF(J19="gallon",I19/4,0)))</f>
        <v>0</v>
      </c>
      <c r="P19">
        <f>IF(L19="bottle",K19/4,IF(L19="case",K19/1,IF(L19="gallon",K19/4,0)))</f>
        <v>0</v>
      </c>
      <c r="Q19">
        <f t="shared" si="6"/>
        <v>0</v>
      </c>
      <c r="R19" s="215">
        <f>Q19</f>
        <v>0</v>
      </c>
      <c r="S19" s="515"/>
      <c r="T19" t="s">
        <v>479</v>
      </c>
      <c r="U19" t="s">
        <v>474</v>
      </c>
    </row>
    <row r="20" spans="1:22" ht="30.75" customHeight="1" x14ac:dyDescent="0.35">
      <c r="A20" s="373" t="s">
        <v>71</v>
      </c>
      <c r="B20" s="332" t="s">
        <v>220</v>
      </c>
      <c r="C20" s="329" t="s">
        <v>429</v>
      </c>
      <c r="D20" s="327" t="s">
        <v>426</v>
      </c>
      <c r="E20" s="334" t="s">
        <v>187</v>
      </c>
      <c r="F20" s="325">
        <v>100</v>
      </c>
      <c r="G20" s="393">
        <v>80</v>
      </c>
      <c r="H20" s="394"/>
      <c r="I20" s="461"/>
      <c r="J20" s="497"/>
      <c r="K20" s="461"/>
      <c r="L20" s="497"/>
      <c r="M20" s="493" t="str">
        <f t="shared" si="4"/>
        <v/>
      </c>
      <c r="N20" s="399">
        <f t="shared" si="5"/>
        <v>0</v>
      </c>
      <c r="O20">
        <f>IF(J20="bottle",I20/4,IF(J20="case",I20/1,IF(J20="gallon",I20/4,0)))</f>
        <v>0</v>
      </c>
      <c r="P20">
        <f>IF(L20="bottle",K20/4,IF(L20="case",K20/1,IF(L20="gallon",K20/4,0)))</f>
        <v>0</v>
      </c>
      <c r="Q20">
        <f t="shared" si="6"/>
        <v>0</v>
      </c>
      <c r="R20" s="215">
        <f>Q20</f>
        <v>0</v>
      </c>
      <c r="S20" s="515"/>
    </row>
    <row r="21" spans="1:22" ht="30" customHeight="1" thickBot="1" x14ac:dyDescent="0.4">
      <c r="A21" s="374" t="s">
        <v>74</v>
      </c>
      <c r="B21" s="333" t="s">
        <v>220</v>
      </c>
      <c r="C21" s="424" t="s">
        <v>429</v>
      </c>
      <c r="D21" s="347" t="s">
        <v>426</v>
      </c>
      <c r="E21" s="320" t="s">
        <v>187</v>
      </c>
      <c r="F21" s="321">
        <v>15</v>
      </c>
      <c r="G21" s="392">
        <v>12</v>
      </c>
      <c r="H21" s="394"/>
      <c r="I21" s="461"/>
      <c r="J21" s="497"/>
      <c r="K21" s="461"/>
      <c r="L21" s="497"/>
      <c r="M21" s="492" t="str">
        <f t="shared" si="4"/>
        <v/>
      </c>
      <c r="N21" s="400">
        <f t="shared" si="5"/>
        <v>0</v>
      </c>
      <c r="O21">
        <f>IF(J21="bottle",I21/4,IF(J21="case",I21/1,IF(J21="gallon",I21/4,0)))</f>
        <v>0</v>
      </c>
      <c r="P21">
        <f>IF(L21="bottle",K21/4,IF(L21="case",K21/1,IF(L21="gallon",K21/4,0)))</f>
        <v>0</v>
      </c>
      <c r="Q21">
        <f t="shared" si="6"/>
        <v>0</v>
      </c>
      <c r="R21" s="215">
        <f>Q21</f>
        <v>0</v>
      </c>
      <c r="S21" s="515"/>
    </row>
    <row r="22" spans="1:22" ht="19" thickBot="1" x14ac:dyDescent="0.5">
      <c r="A22" s="519" t="s">
        <v>318</v>
      </c>
      <c r="B22" s="407"/>
      <c r="C22" s="407"/>
      <c r="D22" s="407"/>
      <c r="E22" s="408"/>
      <c r="F22" s="409"/>
      <c r="G22" s="410"/>
      <c r="H22" s="395"/>
      <c r="I22" s="415"/>
      <c r="J22" s="500"/>
      <c r="K22" s="415"/>
      <c r="L22" s="500"/>
      <c r="M22" s="409"/>
      <c r="N22" s="416"/>
      <c r="S22" s="515"/>
    </row>
    <row r="23" spans="1:22" ht="48" customHeight="1" x14ac:dyDescent="0.35">
      <c r="A23" s="372" t="s">
        <v>545</v>
      </c>
      <c r="B23" s="331" t="s">
        <v>336</v>
      </c>
      <c r="C23" s="328" t="s">
        <v>477</v>
      </c>
      <c r="D23" s="326" t="s">
        <v>426</v>
      </c>
      <c r="E23" s="322" t="s">
        <v>220</v>
      </c>
      <c r="F23" s="323">
        <v>25</v>
      </c>
      <c r="G23" s="391">
        <v>20</v>
      </c>
      <c r="H23" s="394"/>
      <c r="I23" s="501"/>
      <c r="J23" s="502"/>
      <c r="K23" s="501"/>
      <c r="L23" s="502"/>
      <c r="M23" s="391" t="str">
        <f t="shared" ref="M23:M25" si="7">IF(AND(O23=0,P23=0),"",IF(O23+P23&lt;1,"Does Not Meet","Min Met"))</f>
        <v/>
      </c>
      <c r="N23" s="400">
        <f t="shared" ref="N23:N25" si="8">IF(OR($M23="does not meet",$M23=""),0,(O23*F23)+(P23*G23))</f>
        <v>0</v>
      </c>
      <c r="O23">
        <f>IF(J23="gallon",I23,IF(J23="case",I23,IF(J23="quart",I23/4,0)))</f>
        <v>0</v>
      </c>
      <c r="P23">
        <f>IF(L23="gallon",K23,IF(L23="case",K23,IF(L23="quart",K23/4,0)))</f>
        <v>0</v>
      </c>
      <c r="Q23">
        <f t="shared" ref="Q23:Q25" si="9">IF(OR(O23&gt;=1,P23&gt;=1,SUM(O23+P23)&gt;=1),1,0)</f>
        <v>0</v>
      </c>
      <c r="R23" s="215">
        <f>Q23</f>
        <v>0</v>
      </c>
      <c r="S23" s="516"/>
    </row>
    <row r="24" spans="1:22" ht="30.75" customHeight="1" x14ac:dyDescent="0.35">
      <c r="A24" s="373" t="s">
        <v>546</v>
      </c>
      <c r="B24" s="332" t="s">
        <v>427</v>
      </c>
      <c r="C24" s="329" t="s">
        <v>428</v>
      </c>
      <c r="D24" s="327" t="s">
        <v>426</v>
      </c>
      <c r="E24" s="324" t="s">
        <v>450</v>
      </c>
      <c r="F24" s="325">
        <v>15</v>
      </c>
      <c r="G24" s="393">
        <v>12</v>
      </c>
      <c r="H24" s="394"/>
      <c r="I24" s="461"/>
      <c r="J24" s="497"/>
      <c r="K24" s="461"/>
      <c r="L24" s="497"/>
      <c r="M24" s="393" t="str">
        <f t="shared" si="7"/>
        <v/>
      </c>
      <c r="N24" s="399">
        <f t="shared" si="8"/>
        <v>0</v>
      </c>
      <c r="O24">
        <f>IF(J24="bag",I24/8,IF(J24="case",I24/1,IF(J24="pound",I24/14,IF(J24="WSP",I24/56,0))))</f>
        <v>0</v>
      </c>
      <c r="P24">
        <f>IF(L24="bag",K24/8,IF(L24="case",K24/1,IF(L24="pound",K24/14,IF(L24="WSP",K24/56,0))))</f>
        <v>0</v>
      </c>
      <c r="Q24">
        <f t="shared" si="9"/>
        <v>0</v>
      </c>
      <c r="R24" s="215">
        <f>Q24</f>
        <v>0</v>
      </c>
      <c r="S24" s="515"/>
    </row>
    <row r="25" spans="1:22" ht="28.5" customHeight="1" thickBot="1" x14ac:dyDescent="0.4">
      <c r="A25" s="372" t="s">
        <v>70</v>
      </c>
      <c r="B25" s="331" t="s">
        <v>338</v>
      </c>
      <c r="C25" s="328" t="s">
        <v>429</v>
      </c>
      <c r="D25" s="326" t="s">
        <v>426</v>
      </c>
      <c r="E25" s="322" t="s">
        <v>451</v>
      </c>
      <c r="F25" s="323">
        <v>450</v>
      </c>
      <c r="G25" s="391">
        <v>360</v>
      </c>
      <c r="H25" s="394"/>
      <c r="I25" s="461"/>
      <c r="J25" s="497"/>
      <c r="K25" s="461"/>
      <c r="L25" s="497"/>
      <c r="M25" s="391" t="str">
        <f t="shared" si="7"/>
        <v/>
      </c>
      <c r="N25" s="400">
        <f t="shared" si="8"/>
        <v>0</v>
      </c>
      <c r="O25">
        <f>IF(J25="bottle - ounce",I25/4,IF(J25="case",I25/1,IF(J25="pound",I25/16,0)))</f>
        <v>0</v>
      </c>
      <c r="P25">
        <f>IF(L25="bottle - ounce",K25/4,IF(L25="case",K25/1,IF(L25="pound",K25/16,0)))</f>
        <v>0</v>
      </c>
      <c r="Q25">
        <f t="shared" si="9"/>
        <v>0</v>
      </c>
      <c r="R25" s="215">
        <f>Q25</f>
        <v>0</v>
      </c>
      <c r="S25" s="515"/>
    </row>
    <row r="26" spans="1:22" ht="19" thickBot="1" x14ac:dyDescent="0.5">
      <c r="A26" s="522" t="s">
        <v>119</v>
      </c>
      <c r="B26" s="411"/>
      <c r="C26" s="411"/>
      <c r="D26" s="411"/>
      <c r="E26" s="411"/>
      <c r="F26" s="412"/>
      <c r="G26" s="413"/>
      <c r="H26" s="398"/>
      <c r="I26" s="417"/>
      <c r="J26" s="494"/>
      <c r="K26" s="417"/>
      <c r="L26" s="494"/>
      <c r="M26" s="412"/>
      <c r="N26" s="418"/>
      <c r="O26" s="518"/>
      <c r="P26" s="518"/>
      <c r="S26" s="515"/>
    </row>
    <row r="27" spans="1:22" ht="35.25" customHeight="1" x14ac:dyDescent="0.35">
      <c r="A27" s="372" t="s">
        <v>547</v>
      </c>
      <c r="B27" s="331" t="s">
        <v>323</v>
      </c>
      <c r="C27" s="328" t="s">
        <v>421</v>
      </c>
      <c r="D27" s="326" t="s">
        <v>241</v>
      </c>
      <c r="E27" s="322" t="s">
        <v>449</v>
      </c>
      <c r="F27" s="323">
        <v>30</v>
      </c>
      <c r="G27" s="391">
        <v>24</v>
      </c>
      <c r="H27" s="394"/>
      <c r="I27" s="495"/>
      <c r="J27" s="496"/>
      <c r="K27" s="495"/>
      <c r="L27" s="496"/>
      <c r="M27" s="456" t="str">
        <f>IF(AND(O27=0,P27=0),"",IF(O27+P27&lt;1,"Does Not Meet","Min Met"))</f>
        <v/>
      </c>
      <c r="N27" s="400">
        <f t="shared" ref="N27:N29" si="10">IF(OR($M27="does not meet",$M27=""),0,(O27*F27)+(P27*G27))</f>
        <v>0</v>
      </c>
      <c r="O27">
        <f>IF(J27="bag",I27/8,IF(J27="case",I27/2,IF(J27="pound",I27/96,0)))</f>
        <v>0</v>
      </c>
      <c r="P27">
        <f>IF(L27="bag",K27/8,IF(L27="case",K27/2,IF(L27="pound",K27/96,0)))</f>
        <v>0</v>
      </c>
      <c r="Q27">
        <f t="shared" ref="Q27:Q29" si="11">IF(OR(O27&gt;=1,P27&gt;=1,SUM(O27+P27)&gt;=1),1,0)</f>
        <v>0</v>
      </c>
      <c r="R27" s="215">
        <f>IF(OR(Q27&gt;=1,O52&gt;=1),1,0)</f>
        <v>0</v>
      </c>
      <c r="S27" s="515"/>
    </row>
    <row r="28" spans="1:22" ht="30.75" customHeight="1" x14ac:dyDescent="0.35">
      <c r="A28" s="373" t="s">
        <v>548</v>
      </c>
      <c r="B28" s="332" t="s">
        <v>435</v>
      </c>
      <c r="C28" s="329" t="s">
        <v>433</v>
      </c>
      <c r="D28" s="327" t="s">
        <v>434</v>
      </c>
      <c r="E28" s="324" t="s">
        <v>187</v>
      </c>
      <c r="F28" s="325">
        <v>30</v>
      </c>
      <c r="G28" s="393">
        <v>24</v>
      </c>
      <c r="H28" s="394"/>
      <c r="I28" s="461"/>
      <c r="J28" s="497"/>
      <c r="K28" s="461"/>
      <c r="L28" s="497"/>
      <c r="M28" s="455" t="str">
        <f t="shared" ref="M28:M29" si="12">IF(AND(O28=0,P28=0),"",IF(O28+P28&lt;1,"Does Not Meet","Min Met"))</f>
        <v/>
      </c>
      <c r="N28" s="399">
        <f t="shared" si="10"/>
        <v>0</v>
      </c>
      <c r="O28">
        <f>IF(J28="gallon",I28/4,IF(J28="pint",I28/8,IF(J28="bottle - gallon",I28/4,IF(J28="bottle - pint",I28/8,IF(J28="case - gallon",I28/1,IF(J28="case - pint",I28/4,0))))))</f>
        <v>0</v>
      </c>
      <c r="P28">
        <f>IF(L28="gallon",K28/4,IF(L28="pint",K28/8,IF(L28="bottle - gallon",K28/4,IF(L28="bottle - pint",K28/8,IF(L28="case - gallon",K28/1,IF(L28="case - pint",K28/4,0))))))</f>
        <v>0</v>
      </c>
      <c r="Q28">
        <f t="shared" si="11"/>
        <v>0</v>
      </c>
      <c r="S28" s="515"/>
    </row>
    <row r="29" spans="1:22" ht="29.5" thickBot="1" x14ac:dyDescent="0.4">
      <c r="A29" s="374" t="s">
        <v>549</v>
      </c>
      <c r="B29" s="333" t="s">
        <v>329</v>
      </c>
      <c r="C29" s="330" t="s">
        <v>424</v>
      </c>
      <c r="D29" s="347" t="s">
        <v>241</v>
      </c>
      <c r="E29" s="320" t="s">
        <v>449</v>
      </c>
      <c r="F29" s="321">
        <v>50</v>
      </c>
      <c r="G29" s="392">
        <v>40</v>
      </c>
      <c r="H29" s="394"/>
      <c r="I29" s="498"/>
      <c r="J29" s="499"/>
      <c r="K29" s="498"/>
      <c r="L29" s="499"/>
      <c r="M29" s="457" t="str">
        <f t="shared" si="12"/>
        <v/>
      </c>
      <c r="N29" s="400">
        <f t="shared" si="10"/>
        <v>0</v>
      </c>
      <c r="O29">
        <f>IF(J29="bag",I29/16,IF(J29="case",I29/2,IF(J29="pound",I29/96,IF(J29="WSP",I29/64,0))))</f>
        <v>0</v>
      </c>
      <c r="P29">
        <f>IF(L29="bag",K29/16,IF(L29="case",K29/2,IF(L29="pound",K29/96,IF(L29="WSP",K29/64,0))))</f>
        <v>0</v>
      </c>
      <c r="Q29">
        <f t="shared" si="11"/>
        <v>0</v>
      </c>
      <c r="R29" s="215">
        <f>IF(OR(Q29&gt;=1,O53&gt;=1),1,0)</f>
        <v>0</v>
      </c>
      <c r="S29" s="515"/>
    </row>
    <row r="30" spans="1:22" ht="15" thickBot="1" x14ac:dyDescent="0.4">
      <c r="A30" s="430" t="s">
        <v>563</v>
      </c>
      <c r="B30" s="431"/>
      <c r="C30" s="431"/>
      <c r="D30" s="431"/>
      <c r="E30" s="431"/>
      <c r="F30" s="432"/>
      <c r="G30" s="433"/>
      <c r="H30" s="396"/>
      <c r="I30" s="434"/>
      <c r="J30" s="506"/>
      <c r="K30" s="434"/>
      <c r="L30" s="506"/>
      <c r="M30" s="432"/>
      <c r="N30" s="435"/>
      <c r="S30" s="515"/>
    </row>
    <row r="31" spans="1:22" ht="30.75" customHeight="1" x14ac:dyDescent="0.35">
      <c r="A31" s="447" t="s">
        <v>29</v>
      </c>
      <c r="B31" s="448" t="s">
        <v>315</v>
      </c>
      <c r="C31" s="449"/>
      <c r="D31" s="450" t="s">
        <v>315</v>
      </c>
      <c r="E31" s="451" t="s">
        <v>456</v>
      </c>
      <c r="F31" s="446">
        <v>0.65</v>
      </c>
      <c r="G31" s="452">
        <v>0.52</v>
      </c>
      <c r="H31" s="394"/>
      <c r="I31" s="461"/>
      <c r="J31" s="497"/>
      <c r="K31" s="461"/>
      <c r="L31" s="497"/>
      <c r="M31" s="492" t="str">
        <f t="shared" ref="M31:M46" si="13">IF(AND(O31=0,P31=0),"",IF(O31+P31&lt;1,"Does Not Meet","Min Met"))</f>
        <v/>
      </c>
      <c r="N31" s="400">
        <f t="shared" ref="N31:N46" si="14">IF(OR($M31="does not meet",$M31=""),0,(O31*F31)+(P31*G31))</f>
        <v>0</v>
      </c>
      <c r="O31">
        <f t="shared" ref="O31:O40" si="15">IF(J31="bag",I31/1,IF(J31="pound",I31/50,0))</f>
        <v>0</v>
      </c>
      <c r="P31">
        <f t="shared" ref="P31:P40" si="16">IF(L31="bag",K31/1,IF(L31="pound",K31/50,0))</f>
        <v>0</v>
      </c>
      <c r="Q31">
        <f>IF(OR(O31&gt;=40,P31&gt;=40,SUM(O31+P31)&gt;=40),1,0)</f>
        <v>0</v>
      </c>
      <c r="R31" s="215">
        <f>IF(OR(Q31&gt;=1,Q32&gt;=1,Q33&gt;=1,Q34&gt;=1,Q15&gt;=1),1,0)</f>
        <v>0</v>
      </c>
      <c r="S31" s="515"/>
    </row>
    <row r="32" spans="1:22" ht="30.75" customHeight="1" x14ac:dyDescent="0.35">
      <c r="A32" s="453" t="s">
        <v>26</v>
      </c>
      <c r="B32" s="332" t="s">
        <v>309</v>
      </c>
      <c r="C32" s="329"/>
      <c r="D32" s="327" t="s">
        <v>309</v>
      </c>
      <c r="E32" s="324" t="s">
        <v>456</v>
      </c>
      <c r="F32" s="325">
        <v>0.5</v>
      </c>
      <c r="G32" s="445">
        <v>0.4</v>
      </c>
      <c r="H32" s="394"/>
      <c r="I32" s="461"/>
      <c r="J32" s="497"/>
      <c r="K32" s="461"/>
      <c r="L32" s="497"/>
      <c r="M32" s="493" t="str">
        <f t="shared" si="13"/>
        <v/>
      </c>
      <c r="N32" s="399">
        <f t="shared" si="14"/>
        <v>0</v>
      </c>
      <c r="O32">
        <f t="shared" si="15"/>
        <v>0</v>
      </c>
      <c r="P32">
        <f t="shared" si="16"/>
        <v>0</v>
      </c>
      <c r="Q32">
        <f t="shared" ref="Q32:Q46" si="17">IF(OR(O32&gt;=40,P32&gt;=40,SUM(O32+P32)&gt;=40),1,0)</f>
        <v>0</v>
      </c>
      <c r="S32" s="515"/>
    </row>
    <row r="33" spans="1:19" ht="30.75" customHeight="1" x14ac:dyDescent="0.35">
      <c r="A33" s="454" t="s">
        <v>27</v>
      </c>
      <c r="B33" s="331" t="s">
        <v>309</v>
      </c>
      <c r="C33" s="328"/>
      <c r="D33" s="326" t="s">
        <v>309</v>
      </c>
      <c r="E33" s="322" t="s">
        <v>456</v>
      </c>
      <c r="F33" s="323">
        <v>1.1499999999999999</v>
      </c>
      <c r="G33" s="414">
        <v>0.91999999999999993</v>
      </c>
      <c r="H33" s="394"/>
      <c r="I33" s="461"/>
      <c r="J33" s="497"/>
      <c r="K33" s="461"/>
      <c r="L33" s="497"/>
      <c r="M33" s="492" t="str">
        <f t="shared" si="13"/>
        <v/>
      </c>
      <c r="N33" s="400">
        <f t="shared" si="14"/>
        <v>0</v>
      </c>
      <c r="O33">
        <f t="shared" si="15"/>
        <v>0</v>
      </c>
      <c r="P33">
        <f t="shared" si="16"/>
        <v>0</v>
      </c>
      <c r="Q33">
        <f t="shared" si="17"/>
        <v>0</v>
      </c>
      <c r="S33" s="515"/>
    </row>
    <row r="34" spans="1:19" ht="30.75" customHeight="1" x14ac:dyDescent="0.35">
      <c r="A34" s="453" t="s">
        <v>28</v>
      </c>
      <c r="B34" s="332" t="s">
        <v>309</v>
      </c>
      <c r="C34" s="329"/>
      <c r="D34" s="327" t="s">
        <v>309</v>
      </c>
      <c r="E34" s="324" t="s">
        <v>456</v>
      </c>
      <c r="F34" s="325">
        <v>0.4</v>
      </c>
      <c r="G34" s="445">
        <v>0.32</v>
      </c>
      <c r="H34" s="394"/>
      <c r="I34" s="461"/>
      <c r="J34" s="497"/>
      <c r="K34" s="461"/>
      <c r="L34" s="497"/>
      <c r="M34" s="493" t="str">
        <f t="shared" si="13"/>
        <v/>
      </c>
      <c r="N34" s="399">
        <f t="shared" si="14"/>
        <v>0</v>
      </c>
      <c r="O34">
        <f t="shared" si="15"/>
        <v>0</v>
      </c>
      <c r="P34">
        <f t="shared" si="16"/>
        <v>0</v>
      </c>
      <c r="Q34">
        <f t="shared" si="17"/>
        <v>0</v>
      </c>
      <c r="S34" s="515">
        <f t="shared" ref="S34:S40" si="18">IF(M34="MIN MET",(O34+P34)*50,0)</f>
        <v>0</v>
      </c>
    </row>
    <row r="35" spans="1:19" ht="30.75" hidden="1" customHeight="1" x14ac:dyDescent="0.35">
      <c r="A35" s="454" t="s">
        <v>530</v>
      </c>
      <c r="B35" s="331" t="s">
        <v>315</v>
      </c>
      <c r="C35" s="328"/>
      <c r="D35" s="326" t="s">
        <v>315</v>
      </c>
      <c r="E35" s="322" t="s">
        <v>456</v>
      </c>
      <c r="F35" s="323">
        <v>0.29000000000000004</v>
      </c>
      <c r="G35" s="414">
        <v>0.23</v>
      </c>
      <c r="H35" s="394"/>
      <c r="I35" s="461"/>
      <c r="J35" s="497"/>
      <c r="K35" s="461"/>
      <c r="L35" s="497"/>
      <c r="M35" s="492" t="str">
        <f t="shared" si="13"/>
        <v/>
      </c>
      <c r="N35" s="400">
        <f t="shared" si="14"/>
        <v>0</v>
      </c>
      <c r="O35">
        <f t="shared" si="15"/>
        <v>0</v>
      </c>
      <c r="P35">
        <f t="shared" si="16"/>
        <v>0</v>
      </c>
      <c r="Q35">
        <f t="shared" si="17"/>
        <v>0</v>
      </c>
      <c r="S35" s="515">
        <f t="shared" si="18"/>
        <v>0</v>
      </c>
    </row>
    <row r="36" spans="1:19" ht="30.75" customHeight="1" x14ac:dyDescent="0.35">
      <c r="A36" s="453" t="s">
        <v>562</v>
      </c>
      <c r="B36" s="332" t="s">
        <v>309</v>
      </c>
      <c r="C36" s="329"/>
      <c r="D36" s="327" t="s">
        <v>309</v>
      </c>
      <c r="E36" s="324" t="s">
        <v>456</v>
      </c>
      <c r="F36" s="325">
        <v>0.18</v>
      </c>
      <c r="G36" s="445">
        <v>0.14000000000000001</v>
      </c>
      <c r="H36" s="394"/>
      <c r="I36" s="461"/>
      <c r="J36" s="497"/>
      <c r="K36" s="461"/>
      <c r="L36" s="497"/>
      <c r="M36" s="493" t="str">
        <f t="shared" si="13"/>
        <v/>
      </c>
      <c r="N36" s="399">
        <f t="shared" si="14"/>
        <v>0</v>
      </c>
      <c r="O36">
        <f t="shared" si="15"/>
        <v>0</v>
      </c>
      <c r="P36">
        <f t="shared" si="16"/>
        <v>0</v>
      </c>
      <c r="Q36">
        <f t="shared" si="17"/>
        <v>0</v>
      </c>
      <c r="R36" s="215">
        <f>IF(OR(Q36&gt;=1,Q37&gt;=1,Q38&gt;=1,Q39&gt;=1,Q40&gt;=1,Q5&gt;=1,Q6&gt;=1,O51&gt;=1),1,0)</f>
        <v>0</v>
      </c>
      <c r="S36" s="515">
        <f t="shared" si="18"/>
        <v>0</v>
      </c>
    </row>
    <row r="37" spans="1:19" ht="30.75" customHeight="1" x14ac:dyDescent="0.35">
      <c r="A37" s="453" t="s">
        <v>410</v>
      </c>
      <c r="B37" s="332" t="s">
        <v>309</v>
      </c>
      <c r="C37" s="329"/>
      <c r="D37" s="327" t="s">
        <v>309</v>
      </c>
      <c r="E37" s="324" t="s">
        <v>456</v>
      </c>
      <c r="F37" s="325">
        <v>0.27</v>
      </c>
      <c r="G37" s="445">
        <v>0.22</v>
      </c>
      <c r="H37" s="394"/>
      <c r="I37" s="461"/>
      <c r="J37" s="497"/>
      <c r="K37" s="461"/>
      <c r="L37" s="497"/>
      <c r="M37" s="493" t="str">
        <f t="shared" si="13"/>
        <v/>
      </c>
      <c r="N37" s="399">
        <f t="shared" si="14"/>
        <v>0</v>
      </c>
      <c r="O37">
        <f t="shared" si="15"/>
        <v>0</v>
      </c>
      <c r="P37">
        <f t="shared" si="16"/>
        <v>0</v>
      </c>
      <c r="Q37">
        <f t="shared" si="17"/>
        <v>0</v>
      </c>
      <c r="S37" s="515">
        <f t="shared" si="18"/>
        <v>0</v>
      </c>
    </row>
    <row r="38" spans="1:19" ht="30.75" customHeight="1" x14ac:dyDescent="0.35">
      <c r="A38" s="454" t="s">
        <v>411</v>
      </c>
      <c r="B38" s="331" t="s">
        <v>309</v>
      </c>
      <c r="C38" s="328"/>
      <c r="D38" s="326" t="s">
        <v>309</v>
      </c>
      <c r="E38" s="322" t="s">
        <v>456</v>
      </c>
      <c r="F38" s="323">
        <v>0.39</v>
      </c>
      <c r="G38" s="414">
        <v>0.31</v>
      </c>
      <c r="H38" s="394"/>
      <c r="I38" s="461"/>
      <c r="J38" s="497"/>
      <c r="K38" s="461"/>
      <c r="L38" s="497"/>
      <c r="M38" s="492" t="str">
        <f t="shared" si="13"/>
        <v/>
      </c>
      <c r="N38" s="400">
        <f t="shared" si="14"/>
        <v>0</v>
      </c>
      <c r="O38">
        <f t="shared" si="15"/>
        <v>0</v>
      </c>
      <c r="P38">
        <f t="shared" si="16"/>
        <v>0</v>
      </c>
      <c r="Q38">
        <f t="shared" si="17"/>
        <v>0</v>
      </c>
      <c r="S38" s="515">
        <f t="shared" si="18"/>
        <v>0</v>
      </c>
    </row>
    <row r="39" spans="1:19" ht="30.75" customHeight="1" x14ac:dyDescent="0.35">
      <c r="A39" s="453" t="s">
        <v>412</v>
      </c>
      <c r="B39" s="332" t="s">
        <v>309</v>
      </c>
      <c r="C39" s="329"/>
      <c r="D39" s="327" t="s">
        <v>309</v>
      </c>
      <c r="E39" s="324" t="s">
        <v>456</v>
      </c>
      <c r="F39" s="325">
        <v>0.55000000000000004</v>
      </c>
      <c r="G39" s="445">
        <v>0.44</v>
      </c>
      <c r="H39" s="394"/>
      <c r="I39" s="461"/>
      <c r="J39" s="497"/>
      <c r="K39" s="461"/>
      <c r="L39" s="497"/>
      <c r="M39" s="493" t="str">
        <f t="shared" si="13"/>
        <v/>
      </c>
      <c r="N39" s="399">
        <f t="shared" si="14"/>
        <v>0</v>
      </c>
      <c r="O39">
        <f t="shared" si="15"/>
        <v>0</v>
      </c>
      <c r="P39">
        <f t="shared" si="16"/>
        <v>0</v>
      </c>
      <c r="Q39">
        <f t="shared" si="17"/>
        <v>0</v>
      </c>
      <c r="S39" s="515">
        <f t="shared" si="18"/>
        <v>0</v>
      </c>
    </row>
    <row r="40" spans="1:19" ht="30.75" customHeight="1" x14ac:dyDescent="0.35">
      <c r="A40" s="454" t="s">
        <v>560</v>
      </c>
      <c r="B40" s="331" t="s">
        <v>315</v>
      </c>
      <c r="C40" s="328"/>
      <c r="D40" s="326" t="s">
        <v>315</v>
      </c>
      <c r="E40" s="322" t="s">
        <v>456</v>
      </c>
      <c r="F40" s="323">
        <v>0.49</v>
      </c>
      <c r="G40" s="414">
        <v>0.39</v>
      </c>
      <c r="H40" s="394"/>
      <c r="I40" s="461"/>
      <c r="J40" s="497"/>
      <c r="K40" s="461"/>
      <c r="L40" s="497"/>
      <c r="M40" s="492" t="str">
        <f t="shared" si="13"/>
        <v/>
      </c>
      <c r="N40" s="400">
        <f t="shared" si="14"/>
        <v>0</v>
      </c>
      <c r="O40">
        <f t="shared" si="15"/>
        <v>0</v>
      </c>
      <c r="P40">
        <f t="shared" si="16"/>
        <v>0</v>
      </c>
      <c r="Q40">
        <f t="shared" si="17"/>
        <v>0</v>
      </c>
      <c r="S40" s="515">
        <f t="shared" si="18"/>
        <v>0</v>
      </c>
    </row>
    <row r="41" spans="1:19" ht="30.75" customHeight="1" x14ac:dyDescent="0.35">
      <c r="A41" s="453" t="s">
        <v>57</v>
      </c>
      <c r="B41" s="332" t="s">
        <v>311</v>
      </c>
      <c r="C41" s="329"/>
      <c r="D41" s="327" t="s">
        <v>311</v>
      </c>
      <c r="E41" s="324" t="s">
        <v>457</v>
      </c>
      <c r="F41" s="325">
        <v>1.23</v>
      </c>
      <c r="G41" s="445">
        <v>0.98</v>
      </c>
      <c r="H41" s="394"/>
      <c r="I41" s="461"/>
      <c r="J41" s="497"/>
      <c r="K41" s="461"/>
      <c r="L41" s="497"/>
      <c r="M41" s="493" t="str">
        <f t="shared" si="13"/>
        <v/>
      </c>
      <c r="N41" s="399">
        <f t="shared" si="14"/>
        <v>0</v>
      </c>
      <c r="O41">
        <f>IF(J41="bag",I41/1,IF(J41="pound",I41/30,0))</f>
        <v>0</v>
      </c>
      <c r="P41">
        <f>IF(L41="bag",K41/1,IF(L41="pound",K41/30,0))</f>
        <v>0</v>
      </c>
      <c r="Q41">
        <f>IF(OR(O41&gt;=66.6667,P41&gt;=66.6667,SUM(O41+P41)&gt;=66.6667),1,0)</f>
        <v>0</v>
      </c>
      <c r="R41" s="215">
        <f>IF(OR(Q41&gt;=1,Q42&gt;=1,Q43&gt;=1,Q28&gt;=1),1,0)</f>
        <v>0</v>
      </c>
      <c r="S41" s="515">
        <f>IF(M41="MIN MET",(O41+P41)*30,0)</f>
        <v>0</v>
      </c>
    </row>
    <row r="42" spans="1:19" ht="30.75" customHeight="1" x14ac:dyDescent="0.35">
      <c r="A42" s="454" t="s">
        <v>57</v>
      </c>
      <c r="B42" s="331" t="s">
        <v>312</v>
      </c>
      <c r="C42" s="328"/>
      <c r="D42" s="326" t="s">
        <v>312</v>
      </c>
      <c r="E42" s="322" t="s">
        <v>458</v>
      </c>
      <c r="F42" s="323">
        <v>1.61</v>
      </c>
      <c r="G42" s="414">
        <v>1.29</v>
      </c>
      <c r="H42" s="394"/>
      <c r="I42" s="461"/>
      <c r="J42" s="497"/>
      <c r="K42" s="461"/>
      <c r="L42" s="497"/>
      <c r="M42" s="492" t="str">
        <f t="shared" si="13"/>
        <v/>
      </c>
      <c r="N42" s="400">
        <f t="shared" si="14"/>
        <v>0</v>
      </c>
      <c r="O42">
        <f>IF(J42="bag",I42/1,IF(J42="pound",I42/40,0))</f>
        <v>0</v>
      </c>
      <c r="P42">
        <f>IF(L42="bag",K42/1,IF(L42="pound",K42/40,0))</f>
        <v>0</v>
      </c>
      <c r="Q42">
        <f>IF(OR(O42&gt;=50,P42&gt;=50,SUM(O42+P42)&gt;=50),1,0)</f>
        <v>0</v>
      </c>
      <c r="S42" s="515">
        <f>IF(M42="MIN MET",(O42+P42)*40,0)</f>
        <v>0</v>
      </c>
    </row>
    <row r="43" spans="1:19" ht="30.75" customHeight="1" x14ac:dyDescent="0.35">
      <c r="A43" s="453" t="s">
        <v>58</v>
      </c>
      <c r="B43" s="332" t="s">
        <v>313</v>
      </c>
      <c r="C43" s="329"/>
      <c r="D43" s="327" t="s">
        <v>313</v>
      </c>
      <c r="E43" s="324" t="s">
        <v>459</v>
      </c>
      <c r="F43" s="325">
        <v>1.85</v>
      </c>
      <c r="G43" s="445">
        <v>1.48</v>
      </c>
      <c r="H43" s="394"/>
      <c r="I43" s="461"/>
      <c r="J43" s="497"/>
      <c r="K43" s="461"/>
      <c r="L43" s="497"/>
      <c r="M43" s="493" t="str">
        <f t="shared" si="13"/>
        <v/>
      </c>
      <c r="N43" s="399">
        <f t="shared" si="14"/>
        <v>0</v>
      </c>
      <c r="O43">
        <f>IF(J43="bag",I43/1,IF(J43="pound",I43/25,0))</f>
        <v>0</v>
      </c>
      <c r="P43">
        <f>IF(L43="bag",K43/1,IF(L43="pound",K43/25,0))</f>
        <v>0</v>
      </c>
      <c r="Q43">
        <f>IF(OR(O43&gt;=80,P43&gt;=80,SUM(O43+P43)&gt;=80),1,0)</f>
        <v>0</v>
      </c>
      <c r="S43" s="515">
        <f>IF(M43="MIN MET",(O43+P43)*25,0)</f>
        <v>0</v>
      </c>
    </row>
    <row r="44" spans="1:19" ht="30.75" customHeight="1" x14ac:dyDescent="0.35">
      <c r="A44" s="454" t="s">
        <v>558</v>
      </c>
      <c r="B44" s="331" t="s">
        <v>309</v>
      </c>
      <c r="C44" s="328"/>
      <c r="D44" s="326" t="s">
        <v>309</v>
      </c>
      <c r="E44" s="322" t="s">
        <v>456</v>
      </c>
      <c r="F44" s="323">
        <v>0.55000000000000004</v>
      </c>
      <c r="G44" s="414">
        <v>0.44000000000000006</v>
      </c>
      <c r="H44" s="394"/>
      <c r="I44" s="461"/>
      <c r="J44" s="497"/>
      <c r="K44" s="461"/>
      <c r="L44" s="497"/>
      <c r="M44" s="492" t="str">
        <f t="shared" si="13"/>
        <v/>
      </c>
      <c r="N44" s="400">
        <f t="shared" si="14"/>
        <v>0</v>
      </c>
      <c r="O44">
        <f>IF(J44="bag",I44/1,IF(J44="pound",I44/50,0))</f>
        <v>0</v>
      </c>
      <c r="P44">
        <f>IF(L44="bag",K44/1,IF(L44="pound",K44/50,0))</f>
        <v>0</v>
      </c>
      <c r="Q44">
        <f t="shared" si="17"/>
        <v>0</v>
      </c>
      <c r="R44" s="215">
        <f>IF(OR(Q44&gt;=1,Q8&gt;=1),1,0)</f>
        <v>0</v>
      </c>
      <c r="S44" s="515">
        <f>IF(M44="MIN MET",(O44+P44)*50,0)</f>
        <v>0</v>
      </c>
    </row>
    <row r="45" spans="1:19" ht="30.75" customHeight="1" x14ac:dyDescent="0.35">
      <c r="A45" s="453" t="s">
        <v>561</v>
      </c>
      <c r="B45" s="332" t="s">
        <v>309</v>
      </c>
      <c r="C45" s="329"/>
      <c r="D45" s="327" t="s">
        <v>309</v>
      </c>
      <c r="E45" s="324" t="s">
        <v>456</v>
      </c>
      <c r="F45" s="325">
        <v>0.1</v>
      </c>
      <c r="G45" s="445">
        <v>0.08</v>
      </c>
      <c r="H45" s="394"/>
      <c r="I45" s="461"/>
      <c r="J45" s="497"/>
      <c r="K45" s="461"/>
      <c r="L45" s="497"/>
      <c r="M45" s="493" t="str">
        <f t="shared" si="13"/>
        <v/>
      </c>
      <c r="N45" s="399">
        <f t="shared" si="14"/>
        <v>0</v>
      </c>
      <c r="O45">
        <f>IF(J45="bag",I45/1,IF(J45="pound",I45/50,0))</f>
        <v>0</v>
      </c>
      <c r="P45">
        <f>IF(L45="bag",K45/1,IF(L45="pound",K45/50,0))</f>
        <v>0</v>
      </c>
      <c r="Q45">
        <f t="shared" si="17"/>
        <v>0</v>
      </c>
      <c r="R45" s="215">
        <f>IF(OR(Q45&gt;=1,Q46&gt;=1),1,0)</f>
        <v>0</v>
      </c>
      <c r="S45" s="515">
        <f>IF(M45="MIN MET",(O45+P45)*50,0)</f>
        <v>0</v>
      </c>
    </row>
    <row r="46" spans="1:19" ht="32.5" customHeight="1" thickBot="1" x14ac:dyDescent="0.4">
      <c r="A46" s="528" t="s">
        <v>559</v>
      </c>
      <c r="B46" s="529" t="s">
        <v>309</v>
      </c>
      <c r="C46" s="530"/>
      <c r="D46" s="531" t="s">
        <v>309</v>
      </c>
      <c r="E46" s="532" t="s">
        <v>456</v>
      </c>
      <c r="F46" s="533">
        <v>0.3</v>
      </c>
      <c r="G46" s="534">
        <v>0.24</v>
      </c>
      <c r="H46" s="535"/>
      <c r="I46" s="462"/>
      <c r="J46" s="503"/>
      <c r="K46" s="462"/>
      <c r="L46" s="503"/>
      <c r="M46" s="536" t="str">
        <f t="shared" si="13"/>
        <v/>
      </c>
      <c r="N46" s="401">
        <f t="shared" si="14"/>
        <v>0</v>
      </c>
      <c r="O46">
        <f>IF(J46="bag",I46/1,IF(J46="pound",I46/50,0))</f>
        <v>0</v>
      </c>
      <c r="P46">
        <f>IF(L46="bag",K46/1,IF(L46="pound",K46/50,0))</f>
        <v>0</v>
      </c>
      <c r="Q46">
        <f t="shared" si="17"/>
        <v>0</v>
      </c>
      <c r="S46" s="515">
        <f>IF(M46="MIN MET",(O46+P46)*50,0)</f>
        <v>0</v>
      </c>
    </row>
    <row r="47" spans="1:19" x14ac:dyDescent="0.35">
      <c r="A47" s="233"/>
      <c r="S47" s="515"/>
    </row>
    <row r="48" spans="1:19" ht="15" thickBot="1" x14ac:dyDescent="0.4">
      <c r="K48" s="508"/>
      <c r="L48" s="509"/>
      <c r="S48" s="515"/>
    </row>
    <row r="49" spans="1:23" ht="15" thickBot="1" x14ac:dyDescent="0.4">
      <c r="I49" s="573" t="s">
        <v>535</v>
      </c>
      <c r="J49" s="574"/>
      <c r="K49" s="575" t="s">
        <v>536</v>
      </c>
      <c r="L49" s="576"/>
      <c r="S49" s="515"/>
    </row>
    <row r="50" spans="1:23" ht="33.5" customHeight="1" thickBot="1" x14ac:dyDescent="0.4">
      <c r="A50" s="378" t="s">
        <v>123</v>
      </c>
      <c r="B50" s="379" t="s">
        <v>384</v>
      </c>
      <c r="C50" s="379" t="s">
        <v>385</v>
      </c>
      <c r="D50" s="378" t="s">
        <v>404</v>
      </c>
      <c r="E50" s="380" t="s">
        <v>392</v>
      </c>
      <c r="I50" s="419" t="s">
        <v>469</v>
      </c>
      <c r="J50" s="488" t="s">
        <v>470</v>
      </c>
      <c r="K50" s="577" t="s">
        <v>540</v>
      </c>
      <c r="L50" s="578"/>
      <c r="M50" s="510" t="s">
        <v>471</v>
      </c>
      <c r="N50" s="460" t="s">
        <v>472</v>
      </c>
      <c r="S50" s="515"/>
      <c r="U50" t="s">
        <v>236</v>
      </c>
      <c r="V50" t="s">
        <v>236</v>
      </c>
      <c r="W50" t="s">
        <v>482</v>
      </c>
    </row>
    <row r="51" spans="1:23" ht="21.75" customHeight="1" x14ac:dyDescent="0.35">
      <c r="A51" s="375" t="s">
        <v>156</v>
      </c>
      <c r="B51" s="331" t="s">
        <v>461</v>
      </c>
      <c r="C51" s="328" t="s">
        <v>386</v>
      </c>
      <c r="D51" s="326" t="s">
        <v>128</v>
      </c>
      <c r="E51" s="388">
        <v>2400</v>
      </c>
      <c r="I51" s="461"/>
      <c r="J51" s="497"/>
      <c r="K51" s="579"/>
      <c r="L51" s="580"/>
      <c r="M51" s="511" t="str">
        <f>IF(O51=0,"",IF(O51+P53&lt;1,"Does Not Meet","Min Met"))</f>
        <v/>
      </c>
      <c r="N51" s="400">
        <f>IF(OR($M51="does not meet",$M51=""),0,IF(O51+1&gt;=1,(O51*E51)))</f>
        <v>0</v>
      </c>
      <c r="O51">
        <f>ROUNDDOWN(IF(J51="gallon",I51/180,IF(J51="case",I51/36,IF(J51="pallet",I51/1,0))),0)</f>
        <v>0</v>
      </c>
      <c r="Q51" s="514"/>
      <c r="R51" s="514"/>
      <c r="S51" s="515">
        <f>IF(M51="MIN MET",(O51+P51)*180,0)</f>
        <v>0</v>
      </c>
      <c r="U51" t="s">
        <v>240</v>
      </c>
      <c r="V51" t="s">
        <v>497</v>
      </c>
      <c r="W51" t="s">
        <v>497</v>
      </c>
    </row>
    <row r="52" spans="1:23" ht="21.75" customHeight="1" x14ac:dyDescent="0.35">
      <c r="A52" s="376" t="s">
        <v>132</v>
      </c>
      <c r="B52" s="332" t="s">
        <v>462</v>
      </c>
      <c r="C52" s="329" t="s">
        <v>221</v>
      </c>
      <c r="D52" s="327" t="s">
        <v>465</v>
      </c>
      <c r="E52" s="387">
        <v>300</v>
      </c>
      <c r="I52" s="461"/>
      <c r="J52" s="497"/>
      <c r="K52" s="581"/>
      <c r="L52" s="582"/>
      <c r="M52" s="512" t="str">
        <f t="shared" ref="M52:M57" si="19">IF(O52=0,"",IF(O52+P54&lt;1,"Does Not Meet","Min Met"))</f>
        <v/>
      </c>
      <c r="N52" s="399">
        <f t="shared" ref="N52:N57" si="20">IF(OR($M52="does not meet",$M52=""),0,(O52*E52))</f>
        <v>0</v>
      </c>
      <c r="O52">
        <f>ROUNDDOWN(IF(J52="pound",I52/864,IF(J52="case",I52/18,IF(J52="pallet",I52/1,0))),0)</f>
        <v>0</v>
      </c>
      <c r="S52" s="515"/>
      <c r="U52" t="s">
        <v>497</v>
      </c>
      <c r="V52" t="s">
        <v>479</v>
      </c>
      <c r="W52" t="s">
        <v>479</v>
      </c>
    </row>
    <row r="53" spans="1:23" ht="21.75" customHeight="1" x14ac:dyDescent="0.35">
      <c r="A53" s="375" t="s">
        <v>131</v>
      </c>
      <c r="B53" s="331" t="s">
        <v>462</v>
      </c>
      <c r="C53" s="328" t="s">
        <v>221</v>
      </c>
      <c r="D53" s="326" t="s">
        <v>465</v>
      </c>
      <c r="E53" s="388">
        <v>500</v>
      </c>
      <c r="I53" s="461"/>
      <c r="J53" s="497"/>
      <c r="K53" s="581"/>
      <c r="L53" s="582"/>
      <c r="M53" s="511" t="str">
        <f t="shared" si="19"/>
        <v/>
      </c>
      <c r="N53" s="400">
        <f t="shared" si="20"/>
        <v>0</v>
      </c>
      <c r="O53">
        <f>ROUNDDOWN(IF(J53="pound",I53/864,IF(J53="case",I53/18,IF(J53="pallet",I53/1,0))),0)</f>
        <v>0</v>
      </c>
      <c r="P53" s="507"/>
      <c r="Q53" s="514"/>
      <c r="R53" s="514"/>
      <c r="S53" s="517"/>
    </row>
    <row r="54" spans="1:23" ht="21.75" customHeight="1" x14ac:dyDescent="0.35">
      <c r="A54" s="376" t="s">
        <v>554</v>
      </c>
      <c r="B54" s="332" t="s">
        <v>461</v>
      </c>
      <c r="C54" s="329" t="s">
        <v>386</v>
      </c>
      <c r="D54" s="327" t="s">
        <v>128</v>
      </c>
      <c r="E54" s="387">
        <v>400</v>
      </c>
      <c r="I54" s="461"/>
      <c r="J54" s="497"/>
      <c r="K54" s="581"/>
      <c r="L54" s="582"/>
      <c r="M54" s="512" t="str">
        <f t="shared" si="19"/>
        <v/>
      </c>
      <c r="N54" s="399">
        <f t="shared" si="20"/>
        <v>0</v>
      </c>
      <c r="O54">
        <f>ROUNDDOWN(IF(J54="gallon",I54/180,IF(J54="case",I54/36,IF(J54="pallet",I54/1,0))),0)</f>
        <v>0</v>
      </c>
      <c r="S54" s="515"/>
    </row>
    <row r="55" spans="1:23" ht="21.75" customHeight="1" x14ac:dyDescent="0.35">
      <c r="A55" s="375" t="s">
        <v>555</v>
      </c>
      <c r="B55" s="331" t="s">
        <v>461</v>
      </c>
      <c r="C55" s="328" t="s">
        <v>386</v>
      </c>
      <c r="D55" s="326" t="s">
        <v>128</v>
      </c>
      <c r="E55" s="388">
        <v>3200</v>
      </c>
      <c r="I55" s="461"/>
      <c r="J55" s="497"/>
      <c r="K55" s="581"/>
      <c r="L55" s="582"/>
      <c r="M55" s="511" t="str">
        <f t="shared" si="19"/>
        <v/>
      </c>
      <c r="N55" s="400">
        <f t="shared" si="20"/>
        <v>0</v>
      </c>
      <c r="O55">
        <f>ROUNDDOWN(IF(J55="gallon",I55/180,IF(J55="case",I55/36,IF(J55="pallet",I55/1,0))),0)</f>
        <v>0</v>
      </c>
      <c r="S55" s="515"/>
    </row>
    <row r="56" spans="1:23" ht="21.75" customHeight="1" x14ac:dyDescent="0.35">
      <c r="A56" s="376" t="s">
        <v>73</v>
      </c>
      <c r="B56" s="332" t="s">
        <v>344</v>
      </c>
      <c r="C56" s="329" t="s">
        <v>389</v>
      </c>
      <c r="D56" s="327" t="s">
        <v>463</v>
      </c>
      <c r="E56" s="387">
        <v>250</v>
      </c>
      <c r="I56" s="461"/>
      <c r="J56" s="497"/>
      <c r="K56" s="581"/>
      <c r="L56" s="582"/>
      <c r="M56" s="512" t="str">
        <f t="shared" si="19"/>
        <v/>
      </c>
      <c r="N56" s="399">
        <f t="shared" si="20"/>
        <v>0</v>
      </c>
      <c r="O56">
        <f>ROUNDDOWN(IF(J56="bag",I56/40,IF(J56="pound",I56/2000,IF(J56="pallet",I56/1,0))),0)</f>
        <v>0</v>
      </c>
      <c r="S56" s="215">
        <f>IF(M56="MIN MET",(O56+P56)*2000,0)</f>
        <v>0</v>
      </c>
    </row>
    <row r="57" spans="1:23" ht="15" thickBot="1" x14ac:dyDescent="0.4">
      <c r="A57" s="375" t="s">
        <v>552</v>
      </c>
      <c r="B57" s="331" t="s">
        <v>346</v>
      </c>
      <c r="C57" s="328" t="s">
        <v>390</v>
      </c>
      <c r="D57" s="326" t="s">
        <v>464</v>
      </c>
      <c r="E57" s="388">
        <v>250</v>
      </c>
      <c r="I57" s="462"/>
      <c r="J57" s="503"/>
      <c r="K57" s="583"/>
      <c r="L57" s="584"/>
      <c r="M57" s="513" t="str">
        <f t="shared" si="19"/>
        <v/>
      </c>
      <c r="N57" s="401">
        <f t="shared" si="20"/>
        <v>0</v>
      </c>
      <c r="O57">
        <f>ROUNDDOWN(IF(J57="bag",I57/84,IF(J57="pound",I57/2100,IF(J57="pallet",I57/1,0))),0)</f>
        <v>0</v>
      </c>
      <c r="S57" s="515"/>
    </row>
    <row r="58" spans="1:23" ht="15" thickBot="1" x14ac:dyDescent="0.4">
      <c r="A58" s="233"/>
      <c r="B58" s="233"/>
      <c r="C58" s="233"/>
      <c r="D58" s="233"/>
      <c r="E58" s="233"/>
      <c r="K58" s="508"/>
      <c r="L58" s="509"/>
      <c r="S58" s="515"/>
    </row>
    <row r="59" spans="1:23" x14ac:dyDescent="0.35">
      <c r="A59" s="233"/>
      <c r="B59" s="233"/>
      <c r="C59" s="233"/>
      <c r="D59" s="233"/>
      <c r="E59" s="233"/>
      <c r="M59" s="466" t="s">
        <v>498</v>
      </c>
      <c r="N59" s="469">
        <f>SUM($N$4:$N$29)</f>
        <v>0</v>
      </c>
      <c r="S59" s="515"/>
    </row>
    <row r="60" spans="1:23" ht="15" thickBot="1" x14ac:dyDescent="0.4">
      <c r="A60" s="233"/>
      <c r="B60" s="233"/>
      <c r="C60" s="233"/>
      <c r="D60" s="233"/>
      <c r="E60" s="233"/>
      <c r="M60" s="224" t="s">
        <v>499</v>
      </c>
      <c r="N60" s="470">
        <f>SUM($N$31:$N$46)</f>
        <v>0</v>
      </c>
      <c r="S60" s="515"/>
    </row>
    <row r="61" spans="1:23" ht="15" thickBot="1" x14ac:dyDescent="0.4">
      <c r="A61" s="569" t="s">
        <v>467</v>
      </c>
      <c r="B61" s="570"/>
      <c r="C61" s="233"/>
      <c r="D61" s="233"/>
      <c r="E61" s="233"/>
      <c r="M61" s="225" t="s">
        <v>500</v>
      </c>
      <c r="N61" s="468">
        <f>SUM(N51:N57)</f>
        <v>0</v>
      </c>
      <c r="S61" s="515"/>
    </row>
    <row r="62" spans="1:23" ht="27" thickBot="1" x14ac:dyDescent="0.4">
      <c r="A62" s="378" t="s">
        <v>566</v>
      </c>
      <c r="B62" s="379" t="s">
        <v>148</v>
      </c>
      <c r="E62" s="233"/>
      <c r="N62" s="463"/>
      <c r="S62" s="515"/>
    </row>
    <row r="63" spans="1:23" ht="15" thickBot="1" x14ac:dyDescent="0.4">
      <c r="A63" s="375" t="s">
        <v>382</v>
      </c>
      <c r="B63" s="384" t="s">
        <v>420</v>
      </c>
      <c r="E63" s="233"/>
      <c r="N63" s="463"/>
      <c r="S63" s="515"/>
    </row>
    <row r="64" spans="1:23" x14ac:dyDescent="0.35">
      <c r="A64" s="376" t="s">
        <v>9</v>
      </c>
      <c r="B64" s="381" t="s">
        <v>415</v>
      </c>
      <c r="M64" s="466" t="s">
        <v>467</v>
      </c>
      <c r="N64" s="467">
        <f>IF(O64&gt;=6,0.15,IF(O64&gt;=5,0.12,IF(O64&gt;=4,0.09,IF(O64&gt;=3,0.06,IF(O64&gt;=2,0.03,0)))))</f>
        <v>0</v>
      </c>
      <c r="O64">
        <f>SUM(R4:R46)</f>
        <v>0</v>
      </c>
      <c r="S64" s="515"/>
    </row>
    <row r="65" spans="1:19" ht="15" thickBot="1" x14ac:dyDescent="0.4">
      <c r="A65" s="375" t="s">
        <v>6</v>
      </c>
      <c r="B65" s="384" t="s">
        <v>416</v>
      </c>
      <c r="M65" s="225" t="s">
        <v>565</v>
      </c>
      <c r="N65" s="468">
        <f>SUM(N59+N60+N61)*N64</f>
        <v>0</v>
      </c>
      <c r="S65" s="515"/>
    </row>
    <row r="66" spans="1:19" ht="15" thickBot="1" x14ac:dyDescent="0.4">
      <c r="A66" s="376" t="s">
        <v>7</v>
      </c>
      <c r="B66" s="381" t="s">
        <v>417</v>
      </c>
      <c r="S66" s="515"/>
    </row>
    <row r="67" spans="1:19" ht="15" thickBot="1" x14ac:dyDescent="0.4">
      <c r="A67" s="375" t="s">
        <v>8</v>
      </c>
      <c r="B67" s="384" t="s">
        <v>418</v>
      </c>
      <c r="M67" s="464" t="s">
        <v>501</v>
      </c>
      <c r="N67" s="465">
        <f>'Matching Calc'!H33</f>
        <v>0</v>
      </c>
      <c r="S67" s="515"/>
    </row>
    <row r="68" spans="1:19" ht="15" thickBot="1" x14ac:dyDescent="0.4">
      <c r="A68" s="376" t="s">
        <v>466</v>
      </c>
      <c r="B68" s="381" t="s">
        <v>419</v>
      </c>
      <c r="S68" s="515"/>
    </row>
    <row r="69" spans="1:19" ht="58.5" thickBot="1" x14ac:dyDescent="0.4">
      <c r="M69" s="524" t="s">
        <v>569</v>
      </c>
      <c r="N69" s="523" t="str">
        <f>IF(N59+N60+N61+N65+N67&lt;250,"MIN REBATE CHECK AMOUNT NOT MET",N59+N60+N61+N65+N67)</f>
        <v>MIN REBATE CHECK AMOUNT NOT MET</v>
      </c>
      <c r="S69" s="515"/>
    </row>
    <row r="76" spans="1:19" x14ac:dyDescent="0.35">
      <c r="O76" s="525"/>
    </row>
  </sheetData>
  <sortState xmlns:xlrd2="http://schemas.microsoft.com/office/spreadsheetml/2017/richdata2" ref="T12:T14">
    <sortCondition ref="T12"/>
  </sortState>
  <mergeCells count="8">
    <mergeCell ref="D2:E2"/>
    <mergeCell ref="A61:B61"/>
    <mergeCell ref="I1:J1"/>
    <mergeCell ref="K1:L1"/>
    <mergeCell ref="I49:J49"/>
    <mergeCell ref="K49:L49"/>
    <mergeCell ref="K50:L50"/>
    <mergeCell ref="K51:L57"/>
  </mergeCells>
  <dataValidations count="14">
    <dataValidation type="list" allowBlank="1" showInputMessage="1" showErrorMessage="1" sqref="J27 L27" xr:uid="{8A5AC4FE-9F74-4A37-9507-E27B807926F7}">
      <formula1>$U$3:$U$5</formula1>
    </dataValidation>
    <dataValidation type="list" allowBlank="1" showInputMessage="1" showErrorMessage="1" sqref="J28 L28" xr:uid="{B73B26FA-57B1-4965-94F9-8367A425B70C}">
      <formula1>$V$3:$V$8</formula1>
    </dataValidation>
    <dataValidation type="list" allowBlank="1" showInputMessage="1" showErrorMessage="1" sqref="J29 J24 L24 J4 L4 L29" xr:uid="{3EF16651-9DBA-481D-BDFD-0873C9756D57}">
      <formula1>$T$3:$T$6</formula1>
    </dataValidation>
    <dataValidation type="list" allowBlank="1" showInputMessage="1" showErrorMessage="1" sqref="J23 L23" xr:uid="{D06BEB41-0845-4167-8387-170304CF8ED2}">
      <formula1>$W$3:$W$5</formula1>
    </dataValidation>
    <dataValidation type="list" allowBlank="1" showInputMessage="1" showErrorMessage="1" sqref="L15 J15 L11 J11 L5:L6 J5:J6 L19:L21 J19:J21 L17 J17" xr:uid="{BC848C74-5DB4-46FE-82F9-B004110A8490}">
      <formula1>$V$11:$V$13</formula1>
    </dataValidation>
    <dataValidation type="list" allowBlank="1" showInputMessage="1" showErrorMessage="1" sqref="L18 J18 J16 L16" xr:uid="{212336D3-2968-4266-9564-01A83F840E32}">
      <formula1>$W$11:$W$13</formula1>
    </dataValidation>
    <dataValidation type="list" allowBlank="1" showInputMessage="1" showErrorMessage="1" sqref="L7 J7" xr:uid="{90D979A2-2C77-45BB-B4BD-CCC1CACBE6F4}">
      <formula1>$X$11</formula1>
    </dataValidation>
    <dataValidation type="list" allowBlank="1" showInputMessage="1" showErrorMessage="1" sqref="J8 L8" xr:uid="{774C5E05-4ACA-41EB-88F5-1EDA23BCF69F}">
      <formula1>$T$16:$T$19</formula1>
    </dataValidation>
    <dataValidation type="list" allowBlank="1" showInputMessage="1" showErrorMessage="1" sqref="J9:J10 L9:L10" xr:uid="{6203AB2C-0BCD-44D3-AF23-814CB883D57A}">
      <formula1>$U$16:$U$19</formula1>
    </dataValidation>
    <dataValidation type="list" allowBlank="1" showInputMessage="1" showErrorMessage="1" sqref="L31:L46 J31:J46 J12:J13 L12:L13" xr:uid="{7B6C26ED-9AB2-42DC-86A8-F984EF5D9A12}">
      <formula1>$V$16:$V$17</formula1>
    </dataValidation>
    <dataValidation type="list" allowBlank="1" showInputMessage="1" showErrorMessage="1" sqref="J51 J54:J55" xr:uid="{E6362590-F081-42E0-A9AB-45C069D9B5B4}">
      <formula1>$U$50:$U$52</formula1>
    </dataValidation>
    <dataValidation type="list" allowBlank="1" showInputMessage="1" showErrorMessage="1" sqref="J52:J53" xr:uid="{5D4AADD9-58C9-4BF7-BE0A-E523C8A74C43}">
      <formula1>$V$50:$V$52</formula1>
    </dataValidation>
    <dataValidation type="list" allowBlank="1" showInputMessage="1" showErrorMessage="1" sqref="J56:J57" xr:uid="{14A9BEC8-804E-4DB7-889E-9E43A49EBD73}">
      <formula1>$W$50:$W$52</formula1>
    </dataValidation>
    <dataValidation type="list" allowBlank="1" showInputMessage="1" showErrorMessage="1" sqref="L25 J25" xr:uid="{5CB21049-F10E-4095-89E8-83997EA51BA2}">
      <formula1>$T$11:$T$13</formula1>
    </dataValidation>
  </dataValidations>
  <pageMargins left="0.7" right="0.7" top="0.75" bottom="0.75" header="0.3" footer="0.3"/>
  <pageSetup scale="38" orientation="portrait" horizontalDpi="4294967293" verticalDpi="4294967293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6B890-1709-4A11-A2AC-F08AD4AE3642}">
  <sheetPr codeName="Sheet12"/>
  <dimension ref="A2:I33"/>
  <sheetViews>
    <sheetView topLeftCell="A16" workbookViewId="0">
      <selection activeCell="H27" sqref="H27"/>
    </sheetView>
  </sheetViews>
  <sheetFormatPr defaultColWidth="9.1796875" defaultRowHeight="15.5" x14ac:dyDescent="0.35"/>
  <cols>
    <col min="1" max="1" width="40.26953125" style="471" bestFit="1" customWidth="1"/>
    <col min="2" max="2" width="9.7265625" style="471" bestFit="1" customWidth="1"/>
    <col min="3" max="3" width="16.1796875" style="471" customWidth="1"/>
    <col min="4" max="4" width="15.453125" style="471" bestFit="1" customWidth="1"/>
    <col min="5" max="5" width="10" style="471" bestFit="1" customWidth="1"/>
    <col min="6" max="6" width="9.54296875" style="471" bestFit="1" customWidth="1"/>
    <col min="7" max="7" width="14" style="471" bestFit="1" customWidth="1"/>
    <col min="8" max="8" width="18.1796875" style="471" bestFit="1" customWidth="1"/>
    <col min="9" max="9" width="64.7265625" style="471" bestFit="1" customWidth="1"/>
    <col min="10" max="16384" width="9.1796875" style="471"/>
  </cols>
  <sheetData>
    <row r="2" spans="1:9" x14ac:dyDescent="0.35">
      <c r="A2" s="476" t="s">
        <v>160</v>
      </c>
      <c r="B2" s="476" t="s">
        <v>507</v>
      </c>
      <c r="C2" s="476" t="s">
        <v>534</v>
      </c>
      <c r="D2" s="476" t="s">
        <v>505</v>
      </c>
      <c r="E2" s="476" t="s">
        <v>533</v>
      </c>
      <c r="F2" s="476"/>
      <c r="G2" s="476" t="s">
        <v>532</v>
      </c>
      <c r="H2" s="476" t="s">
        <v>531</v>
      </c>
      <c r="I2" s="476"/>
    </row>
    <row r="3" spans="1:9" x14ac:dyDescent="0.35">
      <c r="A3" s="484" t="s">
        <v>530</v>
      </c>
      <c r="B3" s="484" t="s">
        <v>309</v>
      </c>
      <c r="C3" s="483">
        <v>50</v>
      </c>
      <c r="D3" s="485">
        <f>Calculator!S35</f>
        <v>0</v>
      </c>
      <c r="E3" s="482">
        <f>0.121/100</f>
        <v>1.2099999999999999E-3</v>
      </c>
      <c r="F3" s="481">
        <f t="shared" ref="F3:F22" si="0">E3</f>
        <v>1.2099999999999999E-3</v>
      </c>
      <c r="G3" s="480">
        <f t="shared" ref="G3:G22" si="1">C3*E3</f>
        <v>6.0499999999999998E-2</v>
      </c>
      <c r="H3" s="479">
        <f t="shared" ref="H3:H22" si="2">D3*G3</f>
        <v>0</v>
      </c>
    </row>
    <row r="4" spans="1:9" x14ac:dyDescent="0.35">
      <c r="A4" s="471" t="s">
        <v>529</v>
      </c>
      <c r="B4" s="484" t="s">
        <v>309</v>
      </c>
      <c r="C4" s="483">
        <v>50</v>
      </c>
      <c r="D4" s="485">
        <f>Calculator!S$36</f>
        <v>0</v>
      </c>
      <c r="E4" s="482">
        <f>0.06/100</f>
        <v>5.9999999999999995E-4</v>
      </c>
      <c r="F4" s="481">
        <f t="shared" si="0"/>
        <v>5.9999999999999995E-4</v>
      </c>
      <c r="G4" s="480">
        <f t="shared" si="1"/>
        <v>0.03</v>
      </c>
      <c r="H4" s="479">
        <f t="shared" si="2"/>
        <v>0</v>
      </c>
    </row>
    <row r="5" spans="1:9" x14ac:dyDescent="0.35">
      <c r="A5" s="471" t="s">
        <v>528</v>
      </c>
      <c r="B5" s="484" t="s">
        <v>309</v>
      </c>
      <c r="C5" s="483">
        <v>50</v>
      </c>
      <c r="D5" s="485">
        <f>Calculator!S$36</f>
        <v>0</v>
      </c>
      <c r="E5" s="482">
        <f>0.07/100</f>
        <v>7.000000000000001E-4</v>
      </c>
      <c r="F5" s="481">
        <f t="shared" si="0"/>
        <v>7.000000000000001E-4</v>
      </c>
      <c r="G5" s="480">
        <f t="shared" si="1"/>
        <v>3.5000000000000003E-2</v>
      </c>
      <c r="H5" s="479">
        <f t="shared" si="2"/>
        <v>0</v>
      </c>
    </row>
    <row r="6" spans="1:9" x14ac:dyDescent="0.35">
      <c r="A6" s="471" t="s">
        <v>527</v>
      </c>
      <c r="B6" s="484" t="s">
        <v>309</v>
      </c>
      <c r="C6" s="483">
        <v>50</v>
      </c>
      <c r="D6" s="485">
        <f>Calculator!S$36</f>
        <v>0</v>
      </c>
      <c r="E6" s="482">
        <f>0.08/100</f>
        <v>8.0000000000000004E-4</v>
      </c>
      <c r="F6" s="481">
        <f t="shared" si="0"/>
        <v>8.0000000000000004E-4</v>
      </c>
      <c r="G6" s="480">
        <f t="shared" si="1"/>
        <v>0.04</v>
      </c>
      <c r="H6" s="479">
        <f t="shared" si="2"/>
        <v>0</v>
      </c>
    </row>
    <row r="7" spans="1:9" x14ac:dyDescent="0.35">
      <c r="A7" s="471" t="s">
        <v>526</v>
      </c>
      <c r="B7" s="484" t="s">
        <v>309</v>
      </c>
      <c r="C7" s="483">
        <v>50</v>
      </c>
      <c r="D7" s="485">
        <f>Calculator!S$36</f>
        <v>0</v>
      </c>
      <c r="E7" s="482">
        <f>0.09/100</f>
        <v>8.9999999999999998E-4</v>
      </c>
      <c r="F7" s="481">
        <f t="shared" si="0"/>
        <v>8.9999999999999998E-4</v>
      </c>
      <c r="G7" s="480">
        <f t="shared" si="1"/>
        <v>4.4999999999999998E-2</v>
      </c>
      <c r="H7" s="479">
        <f t="shared" si="2"/>
        <v>0</v>
      </c>
    </row>
    <row r="8" spans="1:9" x14ac:dyDescent="0.35">
      <c r="A8" s="471" t="s">
        <v>525</v>
      </c>
      <c r="B8" s="484" t="s">
        <v>309</v>
      </c>
      <c r="C8" s="483">
        <v>50</v>
      </c>
      <c r="D8" s="485">
        <f>Calculator!S$37</f>
        <v>0</v>
      </c>
      <c r="E8" s="482">
        <f>0.1/100</f>
        <v>1E-3</v>
      </c>
      <c r="F8" s="481">
        <f t="shared" si="0"/>
        <v>1E-3</v>
      </c>
      <c r="G8" s="480">
        <f t="shared" si="1"/>
        <v>0.05</v>
      </c>
      <c r="H8" s="479">
        <f t="shared" si="2"/>
        <v>0</v>
      </c>
    </row>
    <row r="9" spans="1:9" x14ac:dyDescent="0.35">
      <c r="A9" s="471" t="s">
        <v>524</v>
      </c>
      <c r="B9" s="484" t="s">
        <v>309</v>
      </c>
      <c r="C9" s="483">
        <v>50</v>
      </c>
      <c r="D9" s="485">
        <f>Calculator!S$37</f>
        <v>0</v>
      </c>
      <c r="E9" s="482">
        <f>0.103/100</f>
        <v>1.0299999999999999E-3</v>
      </c>
      <c r="F9" s="481">
        <f t="shared" si="0"/>
        <v>1.0299999999999999E-3</v>
      </c>
      <c r="G9" s="480">
        <f t="shared" si="1"/>
        <v>5.1499999999999997E-2</v>
      </c>
      <c r="H9" s="479">
        <f t="shared" si="2"/>
        <v>0</v>
      </c>
    </row>
    <row r="10" spans="1:9" x14ac:dyDescent="0.35">
      <c r="A10" s="471" t="s">
        <v>523</v>
      </c>
      <c r="B10" s="484" t="s">
        <v>309</v>
      </c>
      <c r="C10" s="483">
        <v>50</v>
      </c>
      <c r="D10" s="485">
        <f>Calculator!S$37</f>
        <v>0</v>
      </c>
      <c r="E10" s="482">
        <f>0.125/100</f>
        <v>1.25E-3</v>
      </c>
      <c r="F10" s="481">
        <f t="shared" si="0"/>
        <v>1.25E-3</v>
      </c>
      <c r="G10" s="480">
        <f t="shared" si="1"/>
        <v>6.25E-2</v>
      </c>
      <c r="H10" s="479">
        <f t="shared" si="2"/>
        <v>0</v>
      </c>
    </row>
    <row r="11" spans="1:9" x14ac:dyDescent="0.35">
      <c r="A11" s="471" t="s">
        <v>522</v>
      </c>
      <c r="B11" s="484" t="s">
        <v>309</v>
      </c>
      <c r="C11" s="483">
        <v>50</v>
      </c>
      <c r="D11" s="485">
        <f>Calculator!S$37</f>
        <v>0</v>
      </c>
      <c r="E11" s="482">
        <f>0.13/100</f>
        <v>1.2999999999999999E-3</v>
      </c>
      <c r="F11" s="481">
        <f t="shared" si="0"/>
        <v>1.2999999999999999E-3</v>
      </c>
      <c r="G11" s="480">
        <f t="shared" si="1"/>
        <v>6.5000000000000002E-2</v>
      </c>
      <c r="H11" s="479">
        <f t="shared" si="2"/>
        <v>0</v>
      </c>
    </row>
    <row r="12" spans="1:9" x14ac:dyDescent="0.35">
      <c r="A12" s="471" t="s">
        <v>521</v>
      </c>
      <c r="B12" s="484" t="s">
        <v>309</v>
      </c>
      <c r="C12" s="483">
        <v>50</v>
      </c>
      <c r="D12" s="485">
        <f>Calculator!S$38</f>
        <v>0</v>
      </c>
      <c r="E12" s="482">
        <f>0.15/100</f>
        <v>1.5E-3</v>
      </c>
      <c r="F12" s="481">
        <f t="shared" si="0"/>
        <v>1.5E-3</v>
      </c>
      <c r="G12" s="480">
        <f t="shared" si="1"/>
        <v>7.4999999999999997E-2</v>
      </c>
      <c r="H12" s="479">
        <f t="shared" si="2"/>
        <v>0</v>
      </c>
    </row>
    <row r="13" spans="1:9" x14ac:dyDescent="0.35">
      <c r="A13" s="471" t="s">
        <v>520</v>
      </c>
      <c r="B13" s="484" t="s">
        <v>309</v>
      </c>
      <c r="C13" s="483">
        <v>50</v>
      </c>
      <c r="D13" s="485">
        <f>Calculator!S$38</f>
        <v>0</v>
      </c>
      <c r="E13" s="482">
        <f>0.164/100</f>
        <v>1.64E-3</v>
      </c>
      <c r="F13" s="481">
        <f t="shared" si="0"/>
        <v>1.64E-3</v>
      </c>
      <c r="G13" s="480">
        <f t="shared" si="1"/>
        <v>8.2000000000000003E-2</v>
      </c>
      <c r="H13" s="479">
        <f t="shared" si="2"/>
        <v>0</v>
      </c>
    </row>
    <row r="14" spans="1:9" x14ac:dyDescent="0.35">
      <c r="A14" s="471" t="s">
        <v>519</v>
      </c>
      <c r="B14" s="484" t="s">
        <v>309</v>
      </c>
      <c r="C14" s="483">
        <v>50</v>
      </c>
      <c r="D14" s="485">
        <f>Calculator!S$38</f>
        <v>0</v>
      </c>
      <c r="E14" s="482">
        <f>0.17/100</f>
        <v>1.7000000000000001E-3</v>
      </c>
      <c r="F14" s="481">
        <f t="shared" si="0"/>
        <v>1.7000000000000001E-3</v>
      </c>
      <c r="G14" s="480">
        <f t="shared" si="1"/>
        <v>8.5000000000000006E-2</v>
      </c>
      <c r="H14" s="479">
        <f t="shared" si="2"/>
        <v>0</v>
      </c>
    </row>
    <row r="15" spans="1:9" x14ac:dyDescent="0.35">
      <c r="A15" s="471" t="s">
        <v>518</v>
      </c>
      <c r="B15" s="484" t="s">
        <v>309</v>
      </c>
      <c r="C15" s="483">
        <v>50</v>
      </c>
      <c r="D15" s="485">
        <f>Calculator!S$38</f>
        <v>0</v>
      </c>
      <c r="E15" s="482">
        <f>0.19/100</f>
        <v>1.9E-3</v>
      </c>
      <c r="F15" s="481">
        <f t="shared" si="0"/>
        <v>1.9E-3</v>
      </c>
      <c r="G15" s="480">
        <f t="shared" si="1"/>
        <v>9.5000000000000001E-2</v>
      </c>
      <c r="H15" s="479">
        <f t="shared" si="2"/>
        <v>0</v>
      </c>
    </row>
    <row r="16" spans="1:9" x14ac:dyDescent="0.35">
      <c r="A16" s="471" t="s">
        <v>517</v>
      </c>
      <c r="B16" s="484" t="s">
        <v>309</v>
      </c>
      <c r="C16" s="483">
        <v>50</v>
      </c>
      <c r="D16" s="485">
        <f>Calculator!S$39</f>
        <v>0</v>
      </c>
      <c r="E16" s="482">
        <f>0.21/100</f>
        <v>2.0999999999999999E-3</v>
      </c>
      <c r="F16" s="481">
        <f t="shared" si="0"/>
        <v>2.0999999999999999E-3</v>
      </c>
      <c r="G16" s="480">
        <f t="shared" si="1"/>
        <v>0.105</v>
      </c>
      <c r="H16" s="479">
        <f t="shared" si="2"/>
        <v>0</v>
      </c>
    </row>
    <row r="17" spans="1:9" x14ac:dyDescent="0.35">
      <c r="A17" s="471" t="s">
        <v>516</v>
      </c>
      <c r="B17" s="484" t="s">
        <v>309</v>
      </c>
      <c r="C17" s="483">
        <v>50</v>
      </c>
      <c r="D17" s="485">
        <f>Calculator!S$39</f>
        <v>0</v>
      </c>
      <c r="E17" s="482">
        <f>0.22/100</f>
        <v>2.2000000000000001E-3</v>
      </c>
      <c r="F17" s="481">
        <f t="shared" si="0"/>
        <v>2.2000000000000001E-3</v>
      </c>
      <c r="G17" s="480">
        <f t="shared" si="1"/>
        <v>0.11</v>
      </c>
      <c r="H17" s="479">
        <f t="shared" si="2"/>
        <v>0</v>
      </c>
    </row>
    <row r="18" spans="1:9" x14ac:dyDescent="0.35">
      <c r="A18" s="471" t="s">
        <v>515</v>
      </c>
      <c r="B18" s="484" t="s">
        <v>309</v>
      </c>
      <c r="C18" s="483">
        <v>50</v>
      </c>
      <c r="D18" s="485">
        <f>Calculator!S$39</f>
        <v>0</v>
      </c>
      <c r="E18" s="482">
        <f>0.25/100</f>
        <v>2.5000000000000001E-3</v>
      </c>
      <c r="F18" s="481">
        <f t="shared" si="0"/>
        <v>2.5000000000000001E-3</v>
      </c>
      <c r="G18" s="480">
        <f t="shared" si="1"/>
        <v>0.125</v>
      </c>
      <c r="H18" s="479">
        <f t="shared" si="2"/>
        <v>0</v>
      </c>
    </row>
    <row r="19" spans="1:9" x14ac:dyDescent="0.35">
      <c r="A19" s="471" t="s">
        <v>514</v>
      </c>
      <c r="B19" s="484" t="s">
        <v>309</v>
      </c>
      <c r="C19" s="483">
        <v>50</v>
      </c>
      <c r="D19" s="485">
        <f>Calculator!S$39</f>
        <v>0</v>
      </c>
      <c r="E19" s="482">
        <f>0.27/100</f>
        <v>2.7000000000000001E-3</v>
      </c>
      <c r="F19" s="481">
        <f t="shared" si="0"/>
        <v>2.7000000000000001E-3</v>
      </c>
      <c r="G19" s="480">
        <f t="shared" si="1"/>
        <v>0.13500000000000001</v>
      </c>
      <c r="H19" s="479">
        <f t="shared" si="2"/>
        <v>0</v>
      </c>
    </row>
    <row r="20" spans="1:9" x14ac:dyDescent="0.35">
      <c r="A20" s="471" t="s">
        <v>513</v>
      </c>
      <c r="B20" s="484" t="s">
        <v>309</v>
      </c>
      <c r="C20" s="483">
        <v>50</v>
      </c>
      <c r="D20" s="485">
        <f>Calculator!S$40</f>
        <v>0</v>
      </c>
      <c r="E20" s="482">
        <f>0.17/100</f>
        <v>1.7000000000000001E-3</v>
      </c>
      <c r="F20" s="481">
        <f t="shared" si="0"/>
        <v>1.7000000000000001E-3</v>
      </c>
      <c r="G20" s="480">
        <f t="shared" si="1"/>
        <v>8.5000000000000006E-2</v>
      </c>
      <c r="H20" s="479">
        <f t="shared" si="2"/>
        <v>0</v>
      </c>
    </row>
    <row r="21" spans="1:9" x14ac:dyDescent="0.35">
      <c r="A21" s="471" t="s">
        <v>512</v>
      </c>
      <c r="B21" s="484" t="s">
        <v>3</v>
      </c>
      <c r="C21" s="483">
        <v>1</v>
      </c>
      <c r="D21" s="485">
        <f>Calculator!S5+Calculator!S6+Calculator!S51</f>
        <v>0</v>
      </c>
      <c r="E21" s="482">
        <f>200/100</f>
        <v>2</v>
      </c>
      <c r="F21" s="481">
        <f t="shared" si="0"/>
        <v>2</v>
      </c>
      <c r="G21" s="480">
        <f t="shared" si="1"/>
        <v>2</v>
      </c>
      <c r="H21" s="479">
        <f t="shared" si="2"/>
        <v>0</v>
      </c>
    </row>
    <row r="22" spans="1:9" x14ac:dyDescent="0.35">
      <c r="A22" s="471" t="s">
        <v>511</v>
      </c>
      <c r="B22" s="484" t="s">
        <v>310</v>
      </c>
      <c r="C22" s="483">
        <v>1</v>
      </c>
      <c r="D22" s="485">
        <f>Calculator!S4</f>
        <v>0</v>
      </c>
      <c r="E22" s="482">
        <f>40/100</f>
        <v>0.4</v>
      </c>
      <c r="F22" s="481">
        <f t="shared" si="0"/>
        <v>0.4</v>
      </c>
      <c r="G22" s="480">
        <f t="shared" si="1"/>
        <v>0.4</v>
      </c>
      <c r="H22" s="479">
        <f t="shared" si="2"/>
        <v>0</v>
      </c>
    </row>
    <row r="23" spans="1:9" x14ac:dyDescent="0.35">
      <c r="H23" s="478">
        <f>SUM(H3:H22)</f>
        <v>0</v>
      </c>
      <c r="I23" s="472" t="s">
        <v>510</v>
      </c>
    </row>
    <row r="24" spans="1:9" x14ac:dyDescent="0.35">
      <c r="I24" s="472"/>
    </row>
    <row r="25" spans="1:9" x14ac:dyDescent="0.35">
      <c r="H25" s="477">
        <v>1.8</v>
      </c>
      <c r="I25" s="472" t="s">
        <v>509</v>
      </c>
    </row>
    <row r="27" spans="1:9" x14ac:dyDescent="0.35">
      <c r="H27" s="475">
        <f>TRUNC(H23/H25)</f>
        <v>0</v>
      </c>
      <c r="I27" s="472" t="s">
        <v>508</v>
      </c>
    </row>
    <row r="28" spans="1:9" x14ac:dyDescent="0.35">
      <c r="I28" s="472"/>
    </row>
    <row r="29" spans="1:9" x14ac:dyDescent="0.35">
      <c r="I29" s="472"/>
    </row>
    <row r="30" spans="1:9" x14ac:dyDescent="0.35">
      <c r="A30" s="476" t="s">
        <v>160</v>
      </c>
      <c r="B30" s="476" t="s">
        <v>507</v>
      </c>
      <c r="C30" s="476" t="s">
        <v>506</v>
      </c>
      <c r="D30" s="476" t="s">
        <v>505</v>
      </c>
      <c r="E30" s="476"/>
      <c r="F30" s="476"/>
      <c r="G30" s="476"/>
      <c r="H30" s="476"/>
      <c r="I30" s="476"/>
    </row>
    <row r="31" spans="1:9" x14ac:dyDescent="0.35">
      <c r="A31" s="471" t="s">
        <v>504</v>
      </c>
      <c r="B31" s="471" t="s">
        <v>308</v>
      </c>
      <c r="C31" s="475">
        <f>H27</f>
        <v>0</v>
      </c>
      <c r="D31" s="474">
        <f>Calculator!S16</f>
        <v>0</v>
      </c>
      <c r="H31" s="487">
        <f>MIN(C31,IF(ISNUMBER(D31),D31,0))</f>
        <v>0</v>
      </c>
      <c r="I31" s="472" t="s">
        <v>503</v>
      </c>
    </row>
    <row r="33" spans="8:9" x14ac:dyDescent="0.35">
      <c r="H33" s="473">
        <f>H31*80</f>
        <v>0</v>
      </c>
      <c r="I33" s="472" t="s">
        <v>502</v>
      </c>
    </row>
  </sheetData>
  <pageMargins left="0.7" right="0.7" top="0.75" bottom="0.75" header="0.3" footer="0.3"/>
  <pageSetup orientation="portrait" r:id="rId1"/>
  <headerFooter>
    <oddFooter>&amp;CDOW CONFIDENTIAL - Do not share without permission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69284-192E-48DE-B6A9-DFB88D4E9C78}">
  <sheetPr codeName="Sheet2">
    <pageSetUpPr fitToPage="1"/>
  </sheetPr>
  <dimension ref="A1:T71"/>
  <sheetViews>
    <sheetView topLeftCell="G13" zoomScale="90" zoomScaleNormal="90" workbookViewId="0">
      <selection activeCell="P19" sqref="P19"/>
    </sheetView>
  </sheetViews>
  <sheetFormatPr defaultRowHeight="14.5" x14ac:dyDescent="0.35"/>
  <cols>
    <col min="1" max="1" width="3.81640625" customWidth="1"/>
    <col min="2" max="2" width="41.7265625" customWidth="1"/>
    <col min="3" max="3" width="10.7265625" customWidth="1"/>
    <col min="4" max="4" width="15.1796875" customWidth="1"/>
    <col min="5" max="5" width="12.81640625" customWidth="1"/>
    <col min="6" max="6" width="13.453125" customWidth="1"/>
    <col min="7" max="7" width="9.1796875" customWidth="1"/>
    <col min="8" max="8" width="39.81640625" customWidth="1"/>
    <col min="9" max="9" width="12.1796875" customWidth="1"/>
    <col min="10" max="10" width="14.54296875" customWidth="1"/>
    <col min="11" max="11" width="13.453125" customWidth="1"/>
    <col min="12" max="12" width="11.1796875" customWidth="1"/>
    <col min="14" max="14" width="20.453125" customWidth="1"/>
    <col min="15" max="15" width="17.54296875" customWidth="1"/>
  </cols>
  <sheetData>
    <row r="1" spans="1:14" x14ac:dyDescent="0.35">
      <c r="B1" s="538" t="s">
        <v>266</v>
      </c>
    </row>
    <row r="2" spans="1:14" x14ac:dyDescent="0.35">
      <c r="B2" s="539"/>
    </row>
    <row r="3" spans="1:14" ht="15" thickBot="1" x14ac:dyDescent="0.4">
      <c r="N3" t="s">
        <v>150</v>
      </c>
    </row>
    <row r="4" spans="1:14" ht="39.75" customHeight="1" thickBot="1" x14ac:dyDescent="0.4">
      <c r="B4" s="69" t="s">
        <v>121</v>
      </c>
      <c r="C4" s="31" t="s">
        <v>184</v>
      </c>
      <c r="D4" s="32" t="s">
        <v>22</v>
      </c>
      <c r="E4" s="2" t="s">
        <v>23</v>
      </c>
      <c r="F4" s="33" t="s">
        <v>24</v>
      </c>
      <c r="H4" s="66" t="s">
        <v>118</v>
      </c>
      <c r="I4" s="46" t="s">
        <v>184</v>
      </c>
      <c r="J4" s="47" t="s">
        <v>22</v>
      </c>
      <c r="K4" s="2" t="s">
        <v>23</v>
      </c>
      <c r="L4" s="48" t="s">
        <v>24</v>
      </c>
    </row>
    <row r="5" spans="1:14" ht="20.149999999999999" customHeight="1" x14ac:dyDescent="0.35">
      <c r="A5" s="8"/>
      <c r="B5" s="21" t="s">
        <v>135</v>
      </c>
      <c r="C5" s="7" t="s">
        <v>181</v>
      </c>
      <c r="D5" s="12">
        <v>40</v>
      </c>
      <c r="E5" s="18"/>
      <c r="F5" s="13">
        <f>E5*D5</f>
        <v>0</v>
      </c>
      <c r="H5" s="49" t="s">
        <v>114</v>
      </c>
      <c r="I5" s="50" t="s">
        <v>2</v>
      </c>
      <c r="J5" s="51">
        <v>20</v>
      </c>
      <c r="K5" s="18">
        <v>0</v>
      </c>
      <c r="L5" s="53">
        <f t="shared" ref="L5:L11" si="0">K5*J5</f>
        <v>0</v>
      </c>
    </row>
    <row r="6" spans="1:14" ht="20.149999999999999" customHeight="1" x14ac:dyDescent="0.35">
      <c r="B6" s="22" t="s">
        <v>50</v>
      </c>
      <c r="C6" s="7" t="s">
        <v>53</v>
      </c>
      <c r="D6" s="12">
        <v>45</v>
      </c>
      <c r="E6" s="18"/>
      <c r="F6" s="13">
        <f>E6*D6</f>
        <v>0</v>
      </c>
      <c r="H6" s="49" t="s">
        <v>117</v>
      </c>
      <c r="I6" s="50" t="s">
        <v>4</v>
      </c>
      <c r="J6" s="51">
        <v>10</v>
      </c>
      <c r="K6" s="18">
        <v>0</v>
      </c>
      <c r="L6" s="53">
        <f t="shared" si="0"/>
        <v>0</v>
      </c>
    </row>
    <row r="7" spans="1:14" ht="20.149999999999999" customHeight="1" x14ac:dyDescent="0.35">
      <c r="B7" s="22" t="s">
        <v>76</v>
      </c>
      <c r="C7" s="7" t="s">
        <v>53</v>
      </c>
      <c r="D7" s="12">
        <v>55</v>
      </c>
      <c r="E7" s="18">
        <v>2</v>
      </c>
      <c r="F7" s="13">
        <f t="shared" ref="F7:F14" si="1">E7*D7</f>
        <v>110</v>
      </c>
      <c r="H7" s="49" t="s">
        <v>115</v>
      </c>
      <c r="I7" s="50" t="s">
        <v>2</v>
      </c>
      <c r="J7" s="51">
        <v>15</v>
      </c>
      <c r="K7" s="18"/>
      <c r="L7" s="53">
        <f t="shared" si="0"/>
        <v>0</v>
      </c>
    </row>
    <row r="8" spans="1:14" ht="20.149999999999999" customHeight="1" x14ac:dyDescent="0.35">
      <c r="B8" s="22" t="s">
        <v>52</v>
      </c>
      <c r="C8" s="7" t="s">
        <v>53</v>
      </c>
      <c r="D8" s="12">
        <v>40</v>
      </c>
      <c r="E8" s="18">
        <v>2</v>
      </c>
      <c r="F8" s="13">
        <f t="shared" si="1"/>
        <v>80</v>
      </c>
      <c r="H8" s="49" t="s">
        <v>139</v>
      </c>
      <c r="I8" s="50" t="s">
        <v>2</v>
      </c>
      <c r="J8" s="51">
        <v>20</v>
      </c>
      <c r="K8" s="18"/>
      <c r="L8" s="53">
        <f t="shared" si="0"/>
        <v>0</v>
      </c>
    </row>
    <row r="9" spans="1:14" ht="20.149999999999999" customHeight="1" x14ac:dyDescent="0.35">
      <c r="B9" s="22" t="s">
        <v>61</v>
      </c>
      <c r="C9" s="7" t="s">
        <v>77</v>
      </c>
      <c r="D9" s="12">
        <v>40</v>
      </c>
      <c r="E9" s="18"/>
      <c r="F9" s="13">
        <f t="shared" si="1"/>
        <v>0</v>
      </c>
      <c r="H9" s="58" t="s">
        <v>129</v>
      </c>
      <c r="I9" s="50" t="s">
        <v>2</v>
      </c>
      <c r="J9" s="51">
        <v>20</v>
      </c>
      <c r="K9" s="18"/>
      <c r="L9" s="53">
        <f t="shared" si="0"/>
        <v>0</v>
      </c>
    </row>
    <row r="10" spans="1:14" ht="20.149999999999999" customHeight="1" x14ac:dyDescent="0.35">
      <c r="B10" s="22" t="s">
        <v>0</v>
      </c>
      <c r="C10" s="7" t="s">
        <v>3</v>
      </c>
      <c r="D10" s="12">
        <v>60</v>
      </c>
      <c r="E10" s="18">
        <v>0</v>
      </c>
      <c r="F10" s="13">
        <f t="shared" si="1"/>
        <v>0</v>
      </c>
      <c r="H10" s="58" t="s">
        <v>70</v>
      </c>
      <c r="I10" s="50" t="s">
        <v>2</v>
      </c>
      <c r="J10" s="51">
        <v>400</v>
      </c>
      <c r="K10" s="18"/>
      <c r="L10" s="53">
        <f t="shared" si="0"/>
        <v>0</v>
      </c>
      <c r="N10" t="s">
        <v>143</v>
      </c>
    </row>
    <row r="11" spans="1:14" ht="20.149999999999999" customHeight="1" thickBot="1" x14ac:dyDescent="0.4">
      <c r="B11" s="23" t="s">
        <v>104</v>
      </c>
      <c r="C11" s="7" t="s">
        <v>53</v>
      </c>
      <c r="D11" s="12">
        <v>100</v>
      </c>
      <c r="E11" s="18">
        <v>5</v>
      </c>
      <c r="F11" s="13">
        <f t="shared" si="1"/>
        <v>500</v>
      </c>
      <c r="H11" s="52" t="s">
        <v>134</v>
      </c>
      <c r="I11" s="59" t="s">
        <v>2</v>
      </c>
      <c r="J11" s="51">
        <v>20</v>
      </c>
      <c r="K11" s="18"/>
      <c r="L11" s="53">
        <f t="shared" si="0"/>
        <v>0</v>
      </c>
      <c r="N11" t="s">
        <v>149</v>
      </c>
    </row>
    <row r="12" spans="1:14" ht="20.149999999999999" customHeight="1" thickBot="1" x14ac:dyDescent="0.5">
      <c r="A12" s="8"/>
      <c r="B12" s="24" t="s">
        <v>105</v>
      </c>
      <c r="C12" s="6" t="s">
        <v>53</v>
      </c>
      <c r="D12" s="12">
        <v>30</v>
      </c>
      <c r="E12" s="18">
        <v>1</v>
      </c>
      <c r="F12" s="13">
        <f t="shared" si="1"/>
        <v>30</v>
      </c>
      <c r="H12" s="26"/>
      <c r="I12" s="3" t="s">
        <v>75</v>
      </c>
      <c r="J12" s="4"/>
      <c r="K12" s="5"/>
      <c r="L12" s="14">
        <f>SUM(L5:L9)</f>
        <v>0</v>
      </c>
      <c r="N12" t="s">
        <v>144</v>
      </c>
    </row>
    <row r="13" spans="1:14" ht="20.149999999999999" customHeight="1" thickBot="1" x14ac:dyDescent="0.4">
      <c r="B13" s="22" t="s">
        <v>124</v>
      </c>
      <c r="C13" s="7" t="s">
        <v>182</v>
      </c>
      <c r="D13" s="12">
        <v>40</v>
      </c>
      <c r="E13" s="18">
        <v>0</v>
      </c>
      <c r="F13" s="13">
        <f t="shared" si="1"/>
        <v>0</v>
      </c>
      <c r="N13" t="s">
        <v>145</v>
      </c>
    </row>
    <row r="14" spans="1:14" ht="20.149999999999999" customHeight="1" thickBot="1" x14ac:dyDescent="0.4">
      <c r="B14" s="25" t="s">
        <v>73</v>
      </c>
      <c r="C14" s="7" t="s">
        <v>182</v>
      </c>
      <c r="D14" s="12">
        <v>40</v>
      </c>
      <c r="E14" s="18">
        <v>0</v>
      </c>
      <c r="F14" s="13">
        <f t="shared" si="1"/>
        <v>0</v>
      </c>
      <c r="H14" s="544" t="s">
        <v>122</v>
      </c>
      <c r="I14" s="546" t="s">
        <v>185</v>
      </c>
      <c r="J14" s="548" t="s">
        <v>22</v>
      </c>
      <c r="K14" s="550" t="s">
        <v>23</v>
      </c>
      <c r="L14" s="548" t="s">
        <v>24</v>
      </c>
      <c r="N14" t="s">
        <v>146</v>
      </c>
    </row>
    <row r="15" spans="1:14" ht="20.25" customHeight="1" thickBot="1" x14ac:dyDescent="0.55000000000000004">
      <c r="B15" s="26"/>
      <c r="C15" s="3" t="s">
        <v>75</v>
      </c>
      <c r="D15" s="4"/>
      <c r="E15" s="5"/>
      <c r="F15" s="14">
        <f>SUM(F5:F14)</f>
        <v>720</v>
      </c>
      <c r="H15" s="545"/>
      <c r="I15" s="547"/>
      <c r="J15" s="549"/>
      <c r="K15" s="551"/>
      <c r="L15" s="549"/>
      <c r="N15" t="s">
        <v>155</v>
      </c>
    </row>
    <row r="16" spans="1:14" ht="21.75" customHeight="1" thickBot="1" x14ac:dyDescent="0.4">
      <c r="B16" s="26"/>
      <c r="H16" s="55" t="s">
        <v>83</v>
      </c>
      <c r="I16" s="56" t="s">
        <v>116</v>
      </c>
      <c r="J16" s="19">
        <v>9</v>
      </c>
      <c r="K16" s="18"/>
      <c r="L16" s="20">
        <f>K16*J16</f>
        <v>0</v>
      </c>
    </row>
    <row r="17" spans="2:20" ht="36.75" customHeight="1" thickBot="1" x14ac:dyDescent="0.4">
      <c r="B17" s="68" t="s">
        <v>120</v>
      </c>
      <c r="C17" s="35" t="s">
        <v>184</v>
      </c>
      <c r="D17" s="36" t="s">
        <v>22</v>
      </c>
      <c r="E17" s="2" t="s">
        <v>23</v>
      </c>
      <c r="F17" s="34" t="s">
        <v>24</v>
      </c>
      <c r="H17" s="55" t="s">
        <v>87</v>
      </c>
      <c r="I17" s="56" t="s">
        <v>116</v>
      </c>
      <c r="J17" s="19">
        <v>14</v>
      </c>
      <c r="K17" s="18"/>
      <c r="L17" s="20">
        <f t="shared" ref="L17:L22" si="2">K17*J17</f>
        <v>0</v>
      </c>
      <c r="N17" s="81" t="s">
        <v>147</v>
      </c>
      <c r="O17" s="88" t="s">
        <v>148</v>
      </c>
    </row>
    <row r="18" spans="2:20" ht="20.149999999999999" customHeight="1" x14ac:dyDescent="0.35">
      <c r="B18" s="27" t="s">
        <v>107</v>
      </c>
      <c r="C18" s="9" t="s">
        <v>2</v>
      </c>
      <c r="D18" s="15">
        <v>30</v>
      </c>
      <c r="E18" s="18">
        <v>0</v>
      </c>
      <c r="F18" s="17">
        <f>E18*D18</f>
        <v>0</v>
      </c>
      <c r="H18" s="55" t="s">
        <v>89</v>
      </c>
      <c r="I18" s="56" t="s">
        <v>116</v>
      </c>
      <c r="J18" s="19">
        <v>16</v>
      </c>
      <c r="K18" s="18"/>
      <c r="L18" s="20">
        <f t="shared" si="2"/>
        <v>0</v>
      </c>
      <c r="N18" s="82" t="s">
        <v>5</v>
      </c>
      <c r="O18" s="83" t="s">
        <v>10</v>
      </c>
    </row>
    <row r="19" spans="2:20" ht="20.149999999999999" customHeight="1" x14ac:dyDescent="0.35">
      <c r="B19" s="27" t="s">
        <v>108</v>
      </c>
      <c r="C19" s="9" t="s">
        <v>3</v>
      </c>
      <c r="D19" s="15">
        <v>100</v>
      </c>
      <c r="E19" s="18">
        <v>0</v>
      </c>
      <c r="F19" s="17">
        <f t="shared" ref="F19:F25" si="3">E19*D19</f>
        <v>0</v>
      </c>
      <c r="H19" s="55" t="s">
        <v>90</v>
      </c>
      <c r="I19" s="56" t="s">
        <v>116</v>
      </c>
      <c r="J19" s="19">
        <v>18</v>
      </c>
      <c r="K19" s="18">
        <v>0</v>
      </c>
      <c r="L19" s="20">
        <f t="shared" si="2"/>
        <v>0</v>
      </c>
      <c r="N19" s="84" t="s">
        <v>9</v>
      </c>
      <c r="O19" s="85" t="s">
        <v>12</v>
      </c>
      <c r="P19" s="209">
        <v>3</v>
      </c>
    </row>
    <row r="20" spans="2:20" ht="20.149999999999999" customHeight="1" x14ac:dyDescent="0.35">
      <c r="B20" s="28" t="s">
        <v>109</v>
      </c>
      <c r="C20" s="11" t="s">
        <v>2</v>
      </c>
      <c r="D20" s="16">
        <v>25</v>
      </c>
      <c r="E20" s="18">
        <v>1</v>
      </c>
      <c r="F20" s="17">
        <f t="shared" si="3"/>
        <v>25</v>
      </c>
      <c r="H20" s="55" t="s">
        <v>91</v>
      </c>
      <c r="I20" s="56" t="s">
        <v>116</v>
      </c>
      <c r="J20" s="19">
        <v>20</v>
      </c>
      <c r="K20" s="18"/>
      <c r="L20" s="20">
        <f t="shared" si="2"/>
        <v>0</v>
      </c>
      <c r="N20" s="84" t="s">
        <v>6</v>
      </c>
      <c r="O20" s="85" t="s">
        <v>11</v>
      </c>
      <c r="P20" s="209">
        <v>6</v>
      </c>
    </row>
    <row r="21" spans="2:20" ht="20.149999999999999" customHeight="1" x14ac:dyDescent="0.35">
      <c r="B21" s="27" t="s">
        <v>110</v>
      </c>
      <c r="C21" s="9" t="s">
        <v>3</v>
      </c>
      <c r="D21" s="15">
        <v>50</v>
      </c>
      <c r="E21" s="18"/>
      <c r="F21" s="17">
        <f t="shared" si="3"/>
        <v>0</v>
      </c>
      <c r="H21" s="55" t="s">
        <v>92</v>
      </c>
      <c r="I21" s="56" t="s">
        <v>116</v>
      </c>
      <c r="J21" s="19">
        <v>21</v>
      </c>
      <c r="K21" s="18">
        <v>0</v>
      </c>
      <c r="L21" s="20">
        <f t="shared" si="2"/>
        <v>0</v>
      </c>
      <c r="N21" s="84" t="s">
        <v>7</v>
      </c>
      <c r="O21" s="85" t="s">
        <v>13</v>
      </c>
      <c r="P21" s="209">
        <v>9</v>
      </c>
    </row>
    <row r="22" spans="2:20" ht="20.149999999999999" customHeight="1" thickBot="1" x14ac:dyDescent="0.5">
      <c r="B22" s="29" t="s">
        <v>105</v>
      </c>
      <c r="C22" s="10" t="s">
        <v>2</v>
      </c>
      <c r="D22" s="15">
        <v>40</v>
      </c>
      <c r="E22" s="18">
        <v>0</v>
      </c>
      <c r="F22" s="17">
        <f t="shared" si="3"/>
        <v>0</v>
      </c>
      <c r="H22" s="57" t="s">
        <v>93</v>
      </c>
      <c r="I22" s="56" t="s">
        <v>116</v>
      </c>
      <c r="J22" s="19">
        <v>24</v>
      </c>
      <c r="K22" s="18"/>
      <c r="L22" s="20">
        <f t="shared" si="2"/>
        <v>0</v>
      </c>
      <c r="N22" s="84" t="s">
        <v>8</v>
      </c>
      <c r="O22" s="85" t="s">
        <v>14</v>
      </c>
      <c r="P22" s="209">
        <v>12</v>
      </c>
    </row>
    <row r="23" spans="2:20" ht="20.149999999999999" customHeight="1" thickBot="1" x14ac:dyDescent="0.4">
      <c r="B23" s="28" t="s">
        <v>111</v>
      </c>
      <c r="C23" s="11" t="s">
        <v>180</v>
      </c>
      <c r="D23" s="16">
        <v>40</v>
      </c>
      <c r="E23" s="18">
        <v>0</v>
      </c>
      <c r="F23" s="17">
        <f t="shared" si="3"/>
        <v>0</v>
      </c>
      <c r="I23" s="3" t="s">
        <v>75</v>
      </c>
      <c r="J23" s="4"/>
      <c r="K23" s="5"/>
      <c r="L23" s="14">
        <f>SUM(L16:L22)</f>
        <v>0</v>
      </c>
      <c r="N23" s="84" t="s">
        <v>15</v>
      </c>
      <c r="O23" s="85" t="s">
        <v>18</v>
      </c>
      <c r="P23" s="209">
        <v>15</v>
      </c>
    </row>
    <row r="24" spans="2:20" ht="20.149999999999999" customHeight="1" x14ac:dyDescent="0.35">
      <c r="B24" s="27" t="s">
        <v>112</v>
      </c>
      <c r="C24" s="9" t="s">
        <v>3</v>
      </c>
      <c r="D24" s="15">
        <v>50</v>
      </c>
      <c r="E24" s="18"/>
      <c r="F24" s="17">
        <f t="shared" si="3"/>
        <v>0</v>
      </c>
      <c r="N24" s="84" t="s">
        <v>16</v>
      </c>
      <c r="O24" s="85" t="s">
        <v>19</v>
      </c>
      <c r="P24" s="209">
        <v>15</v>
      </c>
    </row>
    <row r="25" spans="2:20" ht="20.149999999999999" customHeight="1" thickBot="1" x14ac:dyDescent="0.4">
      <c r="B25" s="30" t="s">
        <v>113</v>
      </c>
      <c r="C25" s="9" t="s">
        <v>2</v>
      </c>
      <c r="D25" s="15">
        <v>40</v>
      </c>
      <c r="E25" s="18">
        <v>2</v>
      </c>
      <c r="F25" s="17">
        <f t="shared" si="3"/>
        <v>80</v>
      </c>
      <c r="N25" s="86" t="s">
        <v>17</v>
      </c>
      <c r="O25" s="87" t="s">
        <v>20</v>
      </c>
      <c r="P25" s="209">
        <v>15</v>
      </c>
    </row>
    <row r="26" spans="2:20" ht="44.5" thickBot="1" x14ac:dyDescent="0.4">
      <c r="B26" s="26"/>
      <c r="C26" s="3" t="s">
        <v>75</v>
      </c>
      <c r="D26" s="4"/>
      <c r="E26" s="5"/>
      <c r="F26" s="14">
        <f>SUM(F18:F25)</f>
        <v>105</v>
      </c>
      <c r="H26" s="65" t="s">
        <v>123</v>
      </c>
      <c r="I26" s="62" t="s">
        <v>184</v>
      </c>
      <c r="J26" s="63" t="s">
        <v>22</v>
      </c>
      <c r="K26" s="2" t="s">
        <v>23</v>
      </c>
      <c r="L26" s="64" t="s">
        <v>24</v>
      </c>
    </row>
    <row r="27" spans="2:20" ht="19.5" customHeight="1" thickBot="1" x14ac:dyDescent="0.4">
      <c r="B27" s="26"/>
      <c r="H27" s="124" t="s">
        <v>138</v>
      </c>
      <c r="I27" s="71" t="s">
        <v>116</v>
      </c>
      <c r="J27" s="72">
        <v>250</v>
      </c>
      <c r="K27" s="18"/>
      <c r="L27" s="79">
        <f t="shared" ref="L27:L36" si="4">K27*J27</f>
        <v>0</v>
      </c>
    </row>
    <row r="28" spans="2:20" ht="35.15" customHeight="1" thickBot="1" x14ac:dyDescent="0.4">
      <c r="B28" s="67" t="s">
        <v>119</v>
      </c>
      <c r="C28" s="39" t="s">
        <v>184</v>
      </c>
      <c r="D28" s="40" t="s">
        <v>22</v>
      </c>
      <c r="E28" s="2" t="s">
        <v>23</v>
      </c>
      <c r="F28" s="41" t="s">
        <v>24</v>
      </c>
      <c r="H28" s="73" t="s">
        <v>106</v>
      </c>
      <c r="I28" s="71" t="s">
        <v>125</v>
      </c>
      <c r="J28" s="72">
        <v>210</v>
      </c>
      <c r="K28" s="18"/>
      <c r="L28" s="79">
        <f t="shared" si="4"/>
        <v>0</v>
      </c>
      <c r="N28" s="91" t="s">
        <v>151</v>
      </c>
      <c r="O28" s="95">
        <f>SUM(F15,F26,F32,L12,L23,L37)</f>
        <v>1185</v>
      </c>
    </row>
    <row r="29" spans="2:20" ht="20.149999999999999" customHeight="1" x14ac:dyDescent="0.35">
      <c r="B29" s="42" t="s">
        <v>142</v>
      </c>
      <c r="C29" s="43" t="s">
        <v>183</v>
      </c>
      <c r="D29" s="44">
        <v>30</v>
      </c>
      <c r="E29" s="18">
        <v>0</v>
      </c>
      <c r="F29" s="45">
        <f>E29*D29</f>
        <v>0</v>
      </c>
      <c r="H29" s="74" t="s">
        <v>73</v>
      </c>
      <c r="I29" s="71" t="s">
        <v>116</v>
      </c>
      <c r="J29" s="72">
        <v>200</v>
      </c>
      <c r="K29" s="18">
        <v>0</v>
      </c>
      <c r="L29" s="79">
        <f t="shared" si="4"/>
        <v>0</v>
      </c>
      <c r="N29" s="92" t="s">
        <v>159</v>
      </c>
      <c r="O29" s="93">
        <v>0.05</v>
      </c>
      <c r="P29" s="215" t="s">
        <v>261</v>
      </c>
      <c r="Q29" s="215"/>
      <c r="R29" s="215"/>
      <c r="S29" s="215"/>
      <c r="T29" s="215"/>
    </row>
    <row r="30" spans="2:20" ht="20.149999999999999" customHeight="1" thickBot="1" x14ac:dyDescent="0.4">
      <c r="B30" s="42" t="s">
        <v>141</v>
      </c>
      <c r="C30" s="43" t="s">
        <v>2</v>
      </c>
      <c r="D30" s="44">
        <v>40</v>
      </c>
      <c r="E30" s="18"/>
      <c r="F30" s="45">
        <f>E30*D30</f>
        <v>0</v>
      </c>
      <c r="H30" s="75" t="s">
        <v>156</v>
      </c>
      <c r="I30" s="71" t="s">
        <v>128</v>
      </c>
      <c r="J30" s="72">
        <v>2700</v>
      </c>
      <c r="K30" s="18"/>
      <c r="L30" s="79">
        <f t="shared" si="4"/>
        <v>0</v>
      </c>
      <c r="N30" s="92" t="s">
        <v>152</v>
      </c>
      <c r="O30" s="96">
        <f>O28*O29</f>
        <v>59.25</v>
      </c>
    </row>
    <row r="31" spans="2:20" ht="20.149999999999999" customHeight="1" thickBot="1" x14ac:dyDescent="0.4">
      <c r="B31" s="125" t="s">
        <v>140</v>
      </c>
      <c r="C31" s="43" t="s">
        <v>183</v>
      </c>
      <c r="D31" s="44">
        <v>60</v>
      </c>
      <c r="E31" s="18">
        <v>6</v>
      </c>
      <c r="F31" s="45">
        <f>E31*D31</f>
        <v>360</v>
      </c>
      <c r="H31" s="75" t="s">
        <v>136</v>
      </c>
      <c r="I31" s="71" t="s">
        <v>127</v>
      </c>
      <c r="J31" s="72">
        <v>2250</v>
      </c>
      <c r="K31" s="18"/>
      <c r="L31" s="79">
        <f t="shared" si="4"/>
        <v>0</v>
      </c>
      <c r="N31" s="540" t="s">
        <v>153</v>
      </c>
      <c r="O31" s="542">
        <f>O28+O30</f>
        <v>1244.25</v>
      </c>
    </row>
    <row r="32" spans="2:20" ht="20.149999999999999" customHeight="1" thickBot="1" x14ac:dyDescent="0.4">
      <c r="B32" s="126"/>
      <c r="C32" s="3" t="s">
        <v>75</v>
      </c>
      <c r="D32" s="4"/>
      <c r="E32" s="5"/>
      <c r="F32" s="14">
        <f>SUM(F29:F31)</f>
        <v>360</v>
      </c>
      <c r="H32" s="73" t="s">
        <v>130</v>
      </c>
      <c r="I32" s="71" t="s">
        <v>128</v>
      </c>
      <c r="J32" s="72">
        <v>4500</v>
      </c>
      <c r="K32" s="18"/>
      <c r="L32" s="79">
        <f t="shared" si="4"/>
        <v>0</v>
      </c>
      <c r="N32" s="541"/>
      <c r="O32" s="543"/>
    </row>
    <row r="33" spans="2:15" ht="20.149999999999999" customHeight="1" thickBot="1" x14ac:dyDescent="0.4">
      <c r="B33" s="26"/>
      <c r="H33" s="75" t="s">
        <v>137</v>
      </c>
      <c r="I33" s="71" t="s">
        <v>178</v>
      </c>
      <c r="J33" s="72">
        <v>1200</v>
      </c>
      <c r="K33" s="18"/>
      <c r="L33" s="79">
        <f t="shared" si="4"/>
        <v>0</v>
      </c>
    </row>
    <row r="34" spans="2:15" ht="16" thickBot="1" x14ac:dyDescent="0.4">
      <c r="H34" s="73" t="s">
        <v>1</v>
      </c>
      <c r="I34" s="71" t="s">
        <v>179</v>
      </c>
      <c r="J34" s="72">
        <v>3200</v>
      </c>
      <c r="K34" s="18"/>
      <c r="L34" s="79">
        <f t="shared" si="4"/>
        <v>0</v>
      </c>
      <c r="N34" s="98" t="s">
        <v>157</v>
      </c>
      <c r="O34" s="99">
        <f>O30</f>
        <v>59.25</v>
      </c>
    </row>
    <row r="35" spans="2:15" ht="19.5" customHeight="1" x14ac:dyDescent="0.35">
      <c r="H35" s="73" t="s">
        <v>132</v>
      </c>
      <c r="I35" s="71" t="s">
        <v>133</v>
      </c>
      <c r="J35" s="72">
        <v>300</v>
      </c>
      <c r="K35" s="18"/>
      <c r="L35" s="79">
        <f t="shared" si="4"/>
        <v>0</v>
      </c>
    </row>
    <row r="36" spans="2:15" ht="39.25" customHeight="1" thickBot="1" x14ac:dyDescent="0.55000000000000004">
      <c r="H36" s="76" t="s">
        <v>131</v>
      </c>
      <c r="I36" s="77" t="s">
        <v>133</v>
      </c>
      <c r="J36" s="78">
        <v>600</v>
      </c>
      <c r="K36" s="60"/>
      <c r="L36" s="80">
        <f t="shared" si="4"/>
        <v>0</v>
      </c>
      <c r="N36" s="94" t="s">
        <v>154</v>
      </c>
    </row>
    <row r="37" spans="2:15" ht="20.149999999999999" customHeight="1" thickBot="1" x14ac:dyDescent="0.4">
      <c r="F37" s="127"/>
      <c r="G37" s="127"/>
      <c r="I37" s="61" t="s">
        <v>75</v>
      </c>
      <c r="J37" s="4"/>
      <c r="K37" s="5"/>
      <c r="L37" s="14">
        <f>SUM(L27:L36)</f>
        <v>0</v>
      </c>
    </row>
    <row r="38" spans="2:15" ht="20.149999999999999" customHeight="1" x14ac:dyDescent="0.35">
      <c r="N38" s="100" t="s">
        <v>158</v>
      </c>
      <c r="O38" s="101">
        <f>O31+O34</f>
        <v>1303.5</v>
      </c>
    </row>
    <row r="39" spans="2:15" ht="20.149999999999999" customHeight="1" x14ac:dyDescent="0.35"/>
    <row r="40" spans="2:15" ht="20.149999999999999" customHeight="1" x14ac:dyDescent="0.35"/>
    <row r="41" spans="2:15" ht="20.25" customHeight="1" x14ac:dyDescent="0.35">
      <c r="F41" s="127"/>
      <c r="G41" s="127"/>
    </row>
    <row r="42" spans="2:15" ht="20.25" customHeight="1" x14ac:dyDescent="0.35">
      <c r="G42" s="127"/>
    </row>
    <row r="43" spans="2:15" ht="20.25" customHeight="1" x14ac:dyDescent="0.35">
      <c r="B43" s="26"/>
    </row>
    <row r="44" spans="2:15" ht="21.25" customHeight="1" x14ac:dyDescent="0.35">
      <c r="B44" s="26"/>
    </row>
    <row r="47" spans="2:15" ht="20.25" customHeight="1" x14ac:dyDescent="0.35"/>
    <row r="48" spans="2:15" ht="15" thickBot="1" x14ac:dyDescent="0.4"/>
    <row r="49" spans="8:12" ht="44.5" thickBot="1" x14ac:dyDescent="0.4">
      <c r="H49" s="70" t="s">
        <v>177</v>
      </c>
      <c r="I49" s="37" t="s">
        <v>21</v>
      </c>
      <c r="J49" s="38" t="s">
        <v>22</v>
      </c>
      <c r="K49" s="2" t="s">
        <v>23</v>
      </c>
      <c r="L49" s="54" t="s">
        <v>24</v>
      </c>
    </row>
    <row r="50" spans="8:12" x14ac:dyDescent="0.35">
      <c r="H50" s="55" t="s">
        <v>78</v>
      </c>
      <c r="I50" s="56" t="s">
        <v>116</v>
      </c>
      <c r="J50" s="19">
        <v>50</v>
      </c>
      <c r="K50" s="18"/>
      <c r="L50" s="20">
        <f t="shared" ref="L50:L70" si="5">K50*J50</f>
        <v>0</v>
      </c>
    </row>
    <row r="51" spans="8:12" x14ac:dyDescent="0.35">
      <c r="H51" s="55" t="s">
        <v>79</v>
      </c>
      <c r="I51" s="56" t="s">
        <v>116</v>
      </c>
      <c r="J51" s="19">
        <v>26</v>
      </c>
      <c r="K51" s="18"/>
      <c r="L51" s="20">
        <f t="shared" si="5"/>
        <v>0</v>
      </c>
    </row>
    <row r="52" spans="8:12" ht="17" x14ac:dyDescent="0.35">
      <c r="H52" s="55" t="s">
        <v>100</v>
      </c>
      <c r="I52" s="56" t="s">
        <v>116</v>
      </c>
      <c r="J52" s="19">
        <v>12</v>
      </c>
      <c r="K52" s="18"/>
      <c r="L52" s="20">
        <f t="shared" si="5"/>
        <v>0</v>
      </c>
    </row>
    <row r="53" spans="8:12" ht="16" x14ac:dyDescent="0.35">
      <c r="H53" s="55" t="s">
        <v>101</v>
      </c>
      <c r="I53" s="56" t="s">
        <v>116</v>
      </c>
      <c r="J53" s="19">
        <v>6</v>
      </c>
      <c r="K53" s="18"/>
      <c r="L53" s="20">
        <f t="shared" si="5"/>
        <v>0</v>
      </c>
    </row>
    <row r="54" spans="8:12" x14ac:dyDescent="0.35">
      <c r="H54" s="55" t="s">
        <v>80</v>
      </c>
      <c r="I54" s="56" t="s">
        <v>116</v>
      </c>
      <c r="J54" s="19">
        <v>7</v>
      </c>
      <c r="K54" s="18"/>
      <c r="L54" s="20">
        <f t="shared" si="5"/>
        <v>0</v>
      </c>
    </row>
    <row r="55" spans="8:12" x14ac:dyDescent="0.35">
      <c r="H55" s="55" t="s">
        <v>81</v>
      </c>
      <c r="I55" s="56" t="s">
        <v>116</v>
      </c>
      <c r="J55" s="19">
        <v>8</v>
      </c>
      <c r="K55" s="18"/>
      <c r="L55" s="20">
        <f t="shared" si="5"/>
        <v>0</v>
      </c>
    </row>
    <row r="56" spans="8:12" x14ac:dyDescent="0.35">
      <c r="H56" s="55" t="s">
        <v>82</v>
      </c>
      <c r="I56" s="56" t="s">
        <v>116</v>
      </c>
      <c r="J56" s="19">
        <v>8.5</v>
      </c>
      <c r="K56" s="18"/>
      <c r="L56" s="20">
        <f t="shared" si="5"/>
        <v>0</v>
      </c>
    </row>
    <row r="57" spans="8:12" x14ac:dyDescent="0.35">
      <c r="H57" s="55" t="s">
        <v>84</v>
      </c>
      <c r="I57" s="56" t="s">
        <v>116</v>
      </c>
      <c r="J57" s="19">
        <v>10</v>
      </c>
      <c r="K57" s="18"/>
      <c r="L57" s="20">
        <f t="shared" si="5"/>
        <v>0</v>
      </c>
    </row>
    <row r="58" spans="8:12" x14ac:dyDescent="0.35">
      <c r="H58" s="55" t="s">
        <v>85</v>
      </c>
      <c r="I58" s="56" t="s">
        <v>116</v>
      </c>
      <c r="J58" s="19">
        <v>11</v>
      </c>
      <c r="K58" s="18"/>
      <c r="L58" s="20">
        <f t="shared" si="5"/>
        <v>0</v>
      </c>
    </row>
    <row r="59" spans="8:12" x14ac:dyDescent="0.35">
      <c r="H59" s="55" t="s">
        <v>86</v>
      </c>
      <c r="I59" s="56" t="s">
        <v>116</v>
      </c>
      <c r="J59" s="19">
        <v>12</v>
      </c>
      <c r="K59" s="18"/>
      <c r="L59" s="20">
        <f t="shared" si="5"/>
        <v>0</v>
      </c>
    </row>
    <row r="60" spans="8:12" x14ac:dyDescent="0.35">
      <c r="H60" s="55" t="s">
        <v>88</v>
      </c>
      <c r="I60" s="56" t="s">
        <v>116</v>
      </c>
      <c r="J60" s="19">
        <v>15</v>
      </c>
      <c r="K60" s="18"/>
      <c r="L60" s="20">
        <f t="shared" si="5"/>
        <v>0</v>
      </c>
    </row>
    <row r="61" spans="8:12" x14ac:dyDescent="0.35">
      <c r="H61" s="55" t="s">
        <v>94</v>
      </c>
      <c r="I61" s="56" t="s">
        <v>116</v>
      </c>
      <c r="J61" s="19">
        <v>30</v>
      </c>
      <c r="K61" s="18"/>
      <c r="L61" s="20">
        <f t="shared" si="5"/>
        <v>0</v>
      </c>
    </row>
    <row r="62" spans="8:12" x14ac:dyDescent="0.35">
      <c r="H62" s="55" t="s">
        <v>49</v>
      </c>
      <c r="I62" s="56" t="s">
        <v>116</v>
      </c>
      <c r="J62" s="19">
        <v>25</v>
      </c>
      <c r="K62" s="18"/>
      <c r="L62" s="20">
        <f t="shared" si="5"/>
        <v>0</v>
      </c>
    </row>
    <row r="63" spans="8:12" x14ac:dyDescent="0.35">
      <c r="H63" s="55" t="s">
        <v>126</v>
      </c>
      <c r="I63" s="56" t="s">
        <v>116</v>
      </c>
      <c r="J63" s="19">
        <v>55</v>
      </c>
      <c r="K63" s="18"/>
      <c r="L63" s="20">
        <f t="shared" si="5"/>
        <v>0</v>
      </c>
    </row>
    <row r="64" spans="8:12" x14ac:dyDescent="0.35">
      <c r="H64" s="55" t="s">
        <v>95</v>
      </c>
      <c r="I64" s="56" t="s">
        <v>116</v>
      </c>
      <c r="J64" s="19">
        <v>75</v>
      </c>
      <c r="K64" s="18"/>
      <c r="L64" s="20">
        <f t="shared" si="5"/>
        <v>0</v>
      </c>
    </row>
    <row r="65" spans="8:12" x14ac:dyDescent="0.35">
      <c r="H65" s="55" t="s">
        <v>96</v>
      </c>
      <c r="I65" s="56" t="s">
        <v>116</v>
      </c>
      <c r="J65" s="19">
        <v>85</v>
      </c>
      <c r="K65" s="18"/>
      <c r="L65" s="20">
        <f t="shared" si="5"/>
        <v>0</v>
      </c>
    </row>
    <row r="66" spans="8:12" ht="17" x14ac:dyDescent="0.35">
      <c r="H66" s="55" t="s">
        <v>102</v>
      </c>
      <c r="I66" s="56" t="s">
        <v>116</v>
      </c>
      <c r="J66" s="19">
        <v>40</v>
      </c>
      <c r="K66" s="18"/>
      <c r="L66" s="20">
        <f t="shared" si="5"/>
        <v>0</v>
      </c>
    </row>
    <row r="67" spans="8:12" ht="17" x14ac:dyDescent="0.35">
      <c r="H67" s="55" t="s">
        <v>103</v>
      </c>
      <c r="I67" s="56" t="s">
        <v>116</v>
      </c>
      <c r="J67" s="19">
        <v>5</v>
      </c>
      <c r="K67" s="18"/>
      <c r="L67" s="20">
        <f t="shared" si="5"/>
        <v>0</v>
      </c>
    </row>
    <row r="68" spans="8:12" x14ac:dyDescent="0.35">
      <c r="H68" s="55" t="s">
        <v>97</v>
      </c>
      <c r="I68" s="56" t="s">
        <v>116</v>
      </c>
      <c r="J68" s="19">
        <v>10</v>
      </c>
      <c r="K68" s="18"/>
      <c r="L68" s="20">
        <f t="shared" si="5"/>
        <v>0</v>
      </c>
    </row>
    <row r="69" spans="8:12" x14ac:dyDescent="0.35">
      <c r="H69" s="55" t="s">
        <v>98</v>
      </c>
      <c r="I69" s="56" t="s">
        <v>116</v>
      </c>
      <c r="J69" s="19">
        <v>20</v>
      </c>
      <c r="K69" s="18"/>
      <c r="L69" s="20">
        <f t="shared" si="5"/>
        <v>0</v>
      </c>
    </row>
    <row r="70" spans="8:12" ht="15" thickBot="1" x14ac:dyDescent="0.4">
      <c r="H70" s="57" t="s">
        <v>99</v>
      </c>
      <c r="I70" s="56" t="s">
        <v>116</v>
      </c>
      <c r="J70" s="19">
        <v>25</v>
      </c>
      <c r="K70" s="18"/>
      <c r="L70" s="20">
        <f t="shared" si="5"/>
        <v>0</v>
      </c>
    </row>
    <row r="71" spans="8:12" ht="15" thickBot="1" x14ac:dyDescent="0.4">
      <c r="I71" s="3" t="s">
        <v>75</v>
      </c>
      <c r="J71" s="4"/>
      <c r="K71" s="5"/>
      <c r="L71" s="14">
        <f>SUM(L50:L70)</f>
        <v>0</v>
      </c>
    </row>
  </sheetData>
  <mergeCells count="8">
    <mergeCell ref="B1:B2"/>
    <mergeCell ref="N31:N32"/>
    <mergeCell ref="O31:O32"/>
    <mergeCell ref="H14:H15"/>
    <mergeCell ref="I14:I15"/>
    <mergeCell ref="J14:J15"/>
    <mergeCell ref="K14:K15"/>
    <mergeCell ref="L14:L15"/>
  </mergeCells>
  <pageMargins left="0.25" right="0.25" top="0.75" bottom="0.75" header="0.3" footer="0.3"/>
  <pageSetup scale="3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11BFB-7594-4EBE-A57F-F9CDBE155AFF}">
  <sheetPr codeName="Sheet3">
    <pageSetUpPr fitToPage="1"/>
  </sheetPr>
  <dimension ref="A1:V71"/>
  <sheetViews>
    <sheetView topLeftCell="A4" zoomScale="80" zoomScaleNormal="80" workbookViewId="0">
      <selection activeCell="G35" sqref="G35"/>
    </sheetView>
  </sheetViews>
  <sheetFormatPr defaultRowHeight="14.5" x14ac:dyDescent="0.35"/>
  <cols>
    <col min="1" max="1" width="3.81640625" customWidth="1"/>
    <col min="2" max="2" width="29.81640625" customWidth="1"/>
    <col min="3" max="3" width="18.453125" customWidth="1"/>
    <col min="4" max="4" width="14" customWidth="1"/>
    <col min="5" max="5" width="15.81640625" customWidth="1"/>
    <col min="6" max="6" width="15.1796875" customWidth="1"/>
    <col min="7" max="7" width="17.1796875" customWidth="1"/>
    <col min="8" max="8" width="13.453125" customWidth="1"/>
    <col min="9" max="9" width="15.1796875" customWidth="1"/>
    <col min="10" max="10" width="15.7265625" customWidth="1"/>
    <col min="11" max="11" width="12" customWidth="1"/>
    <col min="12" max="12" width="39.81640625" customWidth="1"/>
    <col min="13" max="14" width="14.1796875" customWidth="1"/>
    <col min="15" max="15" width="12.1796875" customWidth="1"/>
    <col min="16" max="16" width="14.54296875" customWidth="1"/>
    <col min="17" max="17" width="13.453125" customWidth="1"/>
    <col min="18" max="18" width="11.1796875" customWidth="1"/>
    <col min="19" max="19" width="15.54296875" customWidth="1"/>
    <col min="20" max="21" width="18.81640625" customWidth="1"/>
    <col min="22" max="22" width="20.453125" customWidth="1"/>
    <col min="23" max="23" width="17.54296875" customWidth="1"/>
    <col min="24" max="24" width="23" customWidth="1"/>
    <col min="26" max="26" width="17.1796875" customWidth="1"/>
    <col min="27" max="27" width="12" bestFit="1" customWidth="1"/>
  </cols>
  <sheetData>
    <row r="1" spans="1:22" x14ac:dyDescent="0.35">
      <c r="B1" s="552" t="s">
        <v>267</v>
      </c>
      <c r="C1" s="539"/>
    </row>
    <row r="2" spans="1:22" x14ac:dyDescent="0.35">
      <c r="B2" s="539"/>
      <c r="C2" s="539"/>
    </row>
    <row r="3" spans="1:22" ht="15" thickBot="1" x14ac:dyDescent="0.4">
      <c r="V3" t="s">
        <v>150</v>
      </c>
    </row>
    <row r="4" spans="1:22" ht="39.75" customHeight="1" thickBot="1" x14ac:dyDescent="0.4">
      <c r="B4" s="69" t="s">
        <v>121</v>
      </c>
      <c r="C4" s="69" t="s">
        <v>204</v>
      </c>
      <c r="D4" s="69" t="s">
        <v>198</v>
      </c>
      <c r="E4" s="31" t="s">
        <v>184</v>
      </c>
      <c r="F4" s="32" t="s">
        <v>22</v>
      </c>
      <c r="G4" s="2" t="s">
        <v>23</v>
      </c>
      <c r="H4" s="169" t="s">
        <v>24</v>
      </c>
      <c r="I4" s="182" t="s">
        <v>199</v>
      </c>
      <c r="J4" s="183" t="s">
        <v>200</v>
      </c>
      <c r="L4" s="66" t="s">
        <v>118</v>
      </c>
      <c r="M4" s="66" t="s">
        <v>191</v>
      </c>
      <c r="N4" s="66" t="s">
        <v>198</v>
      </c>
      <c r="O4" s="46" t="s">
        <v>184</v>
      </c>
      <c r="P4" s="47" t="s">
        <v>22</v>
      </c>
      <c r="Q4" s="2" t="s">
        <v>23</v>
      </c>
      <c r="R4" s="176" t="s">
        <v>24</v>
      </c>
      <c r="S4" s="182" t="s">
        <v>24</v>
      </c>
      <c r="T4" s="183" t="s">
        <v>200</v>
      </c>
    </row>
    <row r="5" spans="1:22" ht="20.149999999999999" customHeight="1" x14ac:dyDescent="0.35">
      <c r="A5" s="8"/>
      <c r="B5" s="21" t="s">
        <v>135</v>
      </c>
      <c r="C5" s="135">
        <v>1000</v>
      </c>
      <c r="D5" s="135">
        <v>950</v>
      </c>
      <c r="E5" s="7" t="s">
        <v>181</v>
      </c>
      <c r="F5" s="12">
        <v>40</v>
      </c>
      <c r="G5" s="18"/>
      <c r="H5" s="170">
        <f t="shared" ref="H5:H14" si="0">G5*F5</f>
        <v>0</v>
      </c>
      <c r="I5" s="184">
        <f t="shared" ref="I5:I14" si="1">C5*G5</f>
        <v>0</v>
      </c>
      <c r="J5" s="185">
        <f t="shared" ref="J5:J14" si="2">D5*G5</f>
        <v>0</v>
      </c>
      <c r="L5" s="49" t="s">
        <v>114</v>
      </c>
      <c r="M5" s="145">
        <v>600</v>
      </c>
      <c r="N5" s="145">
        <v>460</v>
      </c>
      <c r="O5" s="50" t="s">
        <v>2</v>
      </c>
      <c r="P5" s="51">
        <v>30</v>
      </c>
      <c r="Q5" s="18">
        <v>0</v>
      </c>
      <c r="R5" s="177">
        <f t="shared" ref="R5:R10" si="3">Q5*P5</f>
        <v>0</v>
      </c>
      <c r="S5" s="184">
        <f>M5*Q5</f>
        <v>0</v>
      </c>
      <c r="T5" s="185">
        <f>N5*Q5</f>
        <v>0</v>
      </c>
    </row>
    <row r="6" spans="1:22" ht="20.149999999999999" customHeight="1" x14ac:dyDescent="0.35">
      <c r="B6" s="22" t="s">
        <v>50</v>
      </c>
      <c r="C6" s="136">
        <v>736</v>
      </c>
      <c r="D6" s="136">
        <v>623.20000000000005</v>
      </c>
      <c r="E6" s="7" t="s">
        <v>53</v>
      </c>
      <c r="F6" s="12">
        <v>45</v>
      </c>
      <c r="G6" s="18"/>
      <c r="H6" s="170">
        <f t="shared" si="0"/>
        <v>0</v>
      </c>
      <c r="I6" s="184">
        <f t="shared" si="1"/>
        <v>0</v>
      </c>
      <c r="J6" s="185">
        <f t="shared" si="2"/>
        <v>0</v>
      </c>
      <c r="L6" s="49" t="s">
        <v>117</v>
      </c>
      <c r="M6" s="145">
        <v>400</v>
      </c>
      <c r="N6" s="145">
        <v>100</v>
      </c>
      <c r="O6" s="50" t="s">
        <v>4</v>
      </c>
      <c r="P6" s="51">
        <v>10</v>
      </c>
      <c r="Q6" s="18">
        <v>0</v>
      </c>
      <c r="R6" s="177">
        <f t="shared" si="3"/>
        <v>0</v>
      </c>
      <c r="S6" s="184">
        <f t="shared" ref="S6:S10" si="4">M6*Q6</f>
        <v>0</v>
      </c>
      <c r="T6" s="185">
        <f t="shared" ref="T6:T10" si="5">N6*Q6</f>
        <v>0</v>
      </c>
    </row>
    <row r="7" spans="1:22" ht="20.149999999999999" customHeight="1" x14ac:dyDescent="0.35">
      <c r="B7" s="22" t="s">
        <v>76</v>
      </c>
      <c r="C7" s="136">
        <v>1055</v>
      </c>
      <c r="D7" s="136">
        <v>897.5</v>
      </c>
      <c r="E7" s="7" t="s">
        <v>188</v>
      </c>
      <c r="F7" s="12">
        <v>55</v>
      </c>
      <c r="G7" s="18">
        <v>0</v>
      </c>
      <c r="H7" s="170">
        <f t="shared" si="0"/>
        <v>0</v>
      </c>
      <c r="I7" s="184">
        <f t="shared" si="1"/>
        <v>0</v>
      </c>
      <c r="J7" s="185">
        <f t="shared" si="2"/>
        <v>0</v>
      </c>
      <c r="L7" s="49" t="s">
        <v>115</v>
      </c>
      <c r="M7" s="145">
        <v>300</v>
      </c>
      <c r="N7" s="145">
        <v>245</v>
      </c>
      <c r="O7" s="50" t="s">
        <v>2</v>
      </c>
      <c r="P7" s="51">
        <v>15</v>
      </c>
      <c r="Q7" s="18"/>
      <c r="R7" s="177">
        <f t="shared" si="3"/>
        <v>0</v>
      </c>
      <c r="S7" s="184">
        <f t="shared" si="4"/>
        <v>0</v>
      </c>
      <c r="T7" s="185">
        <f t="shared" si="5"/>
        <v>0</v>
      </c>
    </row>
    <row r="8" spans="1:22" ht="29.25" customHeight="1" x14ac:dyDescent="0.35">
      <c r="B8" s="22" t="s">
        <v>52</v>
      </c>
      <c r="C8" s="136">
        <v>1100</v>
      </c>
      <c r="D8" s="136">
        <v>873</v>
      </c>
      <c r="E8" s="7" t="s">
        <v>53</v>
      </c>
      <c r="F8" s="12">
        <v>40</v>
      </c>
      <c r="G8" s="18">
        <v>0</v>
      </c>
      <c r="H8" s="170">
        <f t="shared" si="0"/>
        <v>0</v>
      </c>
      <c r="I8" s="184">
        <f t="shared" si="1"/>
        <v>0</v>
      </c>
      <c r="J8" s="185">
        <f t="shared" si="2"/>
        <v>0</v>
      </c>
      <c r="L8" s="58" t="s">
        <v>129</v>
      </c>
      <c r="M8" s="146">
        <v>1200</v>
      </c>
      <c r="N8" s="146">
        <v>920</v>
      </c>
      <c r="O8" s="50" t="s">
        <v>2</v>
      </c>
      <c r="P8" s="51">
        <v>25</v>
      </c>
      <c r="Q8" s="18"/>
      <c r="R8" s="177">
        <f t="shared" si="3"/>
        <v>0</v>
      </c>
      <c r="S8" s="184">
        <f t="shared" si="4"/>
        <v>0</v>
      </c>
      <c r="T8" s="185">
        <f t="shared" si="5"/>
        <v>0</v>
      </c>
    </row>
    <row r="9" spans="1:22" ht="20.149999999999999" customHeight="1" x14ac:dyDescent="0.35">
      <c r="B9" s="22" t="s">
        <v>61</v>
      </c>
      <c r="C9" s="136">
        <v>470</v>
      </c>
      <c r="D9" s="136">
        <v>432</v>
      </c>
      <c r="E9" s="7" t="s">
        <v>189</v>
      </c>
      <c r="F9" s="12">
        <v>40</v>
      </c>
      <c r="G9" s="18"/>
      <c r="H9" s="170">
        <f t="shared" si="0"/>
        <v>0</v>
      </c>
      <c r="I9" s="184">
        <f t="shared" si="1"/>
        <v>0</v>
      </c>
      <c r="J9" s="185">
        <f t="shared" si="2"/>
        <v>0</v>
      </c>
      <c r="L9" s="58" t="s">
        <v>210</v>
      </c>
      <c r="M9" s="146">
        <v>3040</v>
      </c>
      <c r="N9" s="146">
        <v>2432</v>
      </c>
      <c r="O9" s="50" t="s">
        <v>2</v>
      </c>
      <c r="P9" s="51">
        <v>400</v>
      </c>
      <c r="Q9" s="18">
        <v>0</v>
      </c>
      <c r="R9" s="177">
        <f t="shared" si="3"/>
        <v>0</v>
      </c>
      <c r="S9" s="184">
        <f t="shared" si="4"/>
        <v>0</v>
      </c>
      <c r="T9" s="185">
        <f t="shared" si="5"/>
        <v>0</v>
      </c>
    </row>
    <row r="10" spans="1:22" ht="20.149999999999999" customHeight="1" thickBot="1" x14ac:dyDescent="0.4">
      <c r="B10" s="22" t="s">
        <v>0</v>
      </c>
      <c r="C10" s="136">
        <v>629.5</v>
      </c>
      <c r="D10" s="136">
        <v>545.28</v>
      </c>
      <c r="E10" s="7" t="s">
        <v>3</v>
      </c>
      <c r="F10" s="12">
        <v>60</v>
      </c>
      <c r="G10" s="18">
        <v>0</v>
      </c>
      <c r="H10" s="170">
        <f t="shared" si="0"/>
        <v>0</v>
      </c>
      <c r="I10" s="184">
        <f t="shared" si="1"/>
        <v>0</v>
      </c>
      <c r="J10" s="185">
        <f t="shared" si="2"/>
        <v>0</v>
      </c>
      <c r="L10" s="52" t="s">
        <v>134</v>
      </c>
      <c r="M10" s="168">
        <v>1368</v>
      </c>
      <c r="N10" s="147">
        <v>1080</v>
      </c>
      <c r="O10" s="59" t="s">
        <v>2</v>
      </c>
      <c r="P10" s="51">
        <v>20</v>
      </c>
      <c r="Q10" s="18"/>
      <c r="R10" s="177">
        <f t="shared" si="3"/>
        <v>0</v>
      </c>
      <c r="S10" s="184">
        <f t="shared" si="4"/>
        <v>0</v>
      </c>
      <c r="T10" s="185">
        <f t="shared" si="5"/>
        <v>0</v>
      </c>
    </row>
    <row r="11" spans="1:22" ht="33" customHeight="1" thickBot="1" x14ac:dyDescent="0.4">
      <c r="B11" s="23" t="s">
        <v>205</v>
      </c>
      <c r="C11" s="158">
        <v>1400</v>
      </c>
      <c r="D11" s="158">
        <v>1300</v>
      </c>
      <c r="E11" s="7" t="s">
        <v>188</v>
      </c>
      <c r="F11" s="12">
        <v>100</v>
      </c>
      <c r="G11" s="18">
        <v>0</v>
      </c>
      <c r="H11" s="170">
        <f t="shared" si="0"/>
        <v>0</v>
      </c>
      <c r="I11" s="184">
        <f t="shared" si="1"/>
        <v>0</v>
      </c>
      <c r="J11" s="185">
        <f t="shared" si="2"/>
        <v>0</v>
      </c>
      <c r="L11" s="26"/>
      <c r="M11" s="148"/>
      <c r="N11" s="148"/>
      <c r="O11" s="3" t="s">
        <v>75</v>
      </c>
      <c r="P11" s="4"/>
      <c r="Q11" s="5"/>
      <c r="R11" s="171">
        <f>SUM(R5:R10)</f>
        <v>0</v>
      </c>
      <c r="S11" s="186">
        <f>SUM(S5:S10)</f>
        <v>0</v>
      </c>
      <c r="T11" s="187">
        <f>SUM(T5:T10)</f>
        <v>0</v>
      </c>
    </row>
    <row r="12" spans="1:22" ht="20.149999999999999" customHeight="1" thickBot="1" x14ac:dyDescent="0.5">
      <c r="A12" s="8"/>
      <c r="B12" s="24" t="s">
        <v>105</v>
      </c>
      <c r="C12" s="157">
        <v>480</v>
      </c>
      <c r="D12" s="155">
        <v>350</v>
      </c>
      <c r="E12" s="6" t="s">
        <v>187</v>
      </c>
      <c r="F12" s="12">
        <v>30</v>
      </c>
      <c r="G12" s="18">
        <v>0</v>
      </c>
      <c r="H12" s="170">
        <f t="shared" si="0"/>
        <v>0</v>
      </c>
      <c r="I12" s="184">
        <f t="shared" si="1"/>
        <v>0</v>
      </c>
      <c r="J12" s="185">
        <f t="shared" si="2"/>
        <v>0</v>
      </c>
      <c r="M12" s="148"/>
      <c r="N12" s="148"/>
      <c r="S12" s="188"/>
      <c r="T12" s="188"/>
    </row>
    <row r="13" spans="1:22" ht="20.149999999999999" customHeight="1" x14ac:dyDescent="0.35">
      <c r="B13" s="22" t="s">
        <v>124</v>
      </c>
      <c r="C13" s="137">
        <v>900</v>
      </c>
      <c r="D13" s="156">
        <v>850</v>
      </c>
      <c r="E13" s="7" t="s">
        <v>192</v>
      </c>
      <c r="F13" s="12">
        <v>40</v>
      </c>
      <c r="G13" s="18">
        <v>0</v>
      </c>
      <c r="H13" s="170">
        <f t="shared" si="0"/>
        <v>0</v>
      </c>
      <c r="I13" s="184">
        <f t="shared" si="1"/>
        <v>0</v>
      </c>
      <c r="J13" s="185">
        <f t="shared" si="2"/>
        <v>0</v>
      </c>
      <c r="L13" s="544" t="s">
        <v>122</v>
      </c>
      <c r="M13" s="555" t="s">
        <v>191</v>
      </c>
      <c r="N13" s="555" t="s">
        <v>198</v>
      </c>
      <c r="O13" s="546" t="s">
        <v>185</v>
      </c>
      <c r="P13" s="548" t="s">
        <v>22</v>
      </c>
      <c r="Q13" s="550" t="s">
        <v>23</v>
      </c>
      <c r="R13" s="559" t="s">
        <v>24</v>
      </c>
      <c r="S13" s="557" t="s">
        <v>24</v>
      </c>
      <c r="T13" s="189"/>
      <c r="U13" s="131"/>
    </row>
    <row r="14" spans="1:22" ht="20.149999999999999" customHeight="1" thickBot="1" x14ac:dyDescent="0.4">
      <c r="B14" s="25" t="s">
        <v>73</v>
      </c>
      <c r="C14" s="163">
        <v>900</v>
      </c>
      <c r="D14" s="163">
        <v>815</v>
      </c>
      <c r="E14" s="7" t="s">
        <v>186</v>
      </c>
      <c r="F14" s="12">
        <v>40</v>
      </c>
      <c r="G14" s="18">
        <v>4</v>
      </c>
      <c r="H14" s="170">
        <f t="shared" si="0"/>
        <v>160</v>
      </c>
      <c r="I14" s="184">
        <f t="shared" si="1"/>
        <v>3600</v>
      </c>
      <c r="J14" s="185">
        <f t="shared" si="2"/>
        <v>3260</v>
      </c>
      <c r="L14" s="545"/>
      <c r="M14" s="556"/>
      <c r="N14" s="556"/>
      <c r="O14" s="547"/>
      <c r="P14" s="549"/>
      <c r="Q14" s="551"/>
      <c r="R14" s="560"/>
      <c r="S14" s="558"/>
      <c r="T14" s="185" t="s">
        <v>200</v>
      </c>
    </row>
    <row r="15" spans="1:22" ht="20.25" customHeight="1" thickBot="1" x14ac:dyDescent="0.4">
      <c r="B15" s="26"/>
      <c r="C15" s="138"/>
      <c r="D15" s="138"/>
      <c r="E15" s="3" t="s">
        <v>75</v>
      </c>
      <c r="F15" s="4"/>
      <c r="G15" s="5"/>
      <c r="H15" s="171">
        <f>SUM(H5:H14)</f>
        <v>160</v>
      </c>
      <c r="I15" s="186">
        <f>SUM(I5:I14)</f>
        <v>3600</v>
      </c>
      <c r="J15" s="187">
        <f>SUM(J5:J14)</f>
        <v>3260</v>
      </c>
      <c r="L15" s="55" t="s">
        <v>83</v>
      </c>
      <c r="M15" s="149">
        <v>730</v>
      </c>
      <c r="N15" s="149">
        <v>120</v>
      </c>
      <c r="O15" s="56" t="s">
        <v>116</v>
      </c>
      <c r="P15" s="19">
        <v>9</v>
      </c>
      <c r="Q15" s="18"/>
      <c r="R15" s="178">
        <f>Q15*P15</f>
        <v>0</v>
      </c>
      <c r="S15" s="184">
        <f>M15*Q15</f>
        <v>0</v>
      </c>
      <c r="T15" s="185">
        <f>N15*Q15</f>
        <v>0</v>
      </c>
    </row>
    <row r="16" spans="1:22" ht="21.75" customHeight="1" thickBot="1" x14ac:dyDescent="0.4">
      <c r="B16" s="26"/>
      <c r="C16" s="138"/>
      <c r="D16" s="138"/>
      <c r="L16" s="55" t="s">
        <v>87</v>
      </c>
      <c r="M16" s="149">
        <v>780</v>
      </c>
      <c r="N16" s="149">
        <v>180</v>
      </c>
      <c r="O16" s="56" t="s">
        <v>116</v>
      </c>
      <c r="P16" s="19">
        <v>14</v>
      </c>
      <c r="Q16" s="18"/>
      <c r="R16" s="178">
        <f t="shared" ref="R16:R21" si="6">Q16*P16</f>
        <v>0</v>
      </c>
      <c r="S16" s="184">
        <f t="shared" ref="S16:S21" si="7">M16*Q16</f>
        <v>0</v>
      </c>
      <c r="T16" s="185">
        <f t="shared" ref="T16:T21" si="8">N16*Q16</f>
        <v>0</v>
      </c>
    </row>
    <row r="17" spans="2:20" ht="36.75" customHeight="1" thickBot="1" x14ac:dyDescent="0.4">
      <c r="B17" s="68" t="s">
        <v>120</v>
      </c>
      <c r="C17" s="133" t="s">
        <v>191</v>
      </c>
      <c r="D17" s="133" t="s">
        <v>198</v>
      </c>
      <c r="E17" s="35" t="s">
        <v>184</v>
      </c>
      <c r="F17" s="36" t="s">
        <v>22</v>
      </c>
      <c r="G17" s="2" t="s">
        <v>23</v>
      </c>
      <c r="H17" s="172" t="s">
        <v>24</v>
      </c>
      <c r="I17" s="182" t="s">
        <v>216</v>
      </c>
      <c r="J17" s="183" t="s">
        <v>200</v>
      </c>
      <c r="L17" s="55" t="s">
        <v>89</v>
      </c>
      <c r="M17" s="149">
        <v>820</v>
      </c>
      <c r="N17" s="149">
        <v>204</v>
      </c>
      <c r="O17" s="56" t="s">
        <v>116</v>
      </c>
      <c r="P17" s="19">
        <v>16</v>
      </c>
      <c r="Q17" s="18"/>
      <c r="R17" s="178">
        <f t="shared" si="6"/>
        <v>0</v>
      </c>
      <c r="S17" s="184">
        <f t="shared" si="7"/>
        <v>0</v>
      </c>
      <c r="T17" s="185">
        <f t="shared" si="8"/>
        <v>0</v>
      </c>
    </row>
    <row r="18" spans="2:20" ht="20.149999999999999" customHeight="1" x14ac:dyDescent="0.35">
      <c r="B18" s="27" t="s">
        <v>107</v>
      </c>
      <c r="C18" s="139">
        <v>640</v>
      </c>
      <c r="D18" s="139">
        <v>494</v>
      </c>
      <c r="E18" s="9" t="s">
        <v>187</v>
      </c>
      <c r="F18" s="15">
        <v>30</v>
      </c>
      <c r="G18" s="18">
        <v>0</v>
      </c>
      <c r="H18" s="173">
        <f t="shared" ref="H18:H25" si="9">G18*F18</f>
        <v>0</v>
      </c>
      <c r="I18" s="184">
        <f>C18*G18</f>
        <v>0</v>
      </c>
      <c r="J18" s="185">
        <f t="shared" ref="J18:J25" si="10">D18*G18</f>
        <v>0</v>
      </c>
      <c r="L18" s="55" t="s">
        <v>90</v>
      </c>
      <c r="M18" s="149">
        <v>860</v>
      </c>
      <c r="N18" s="149">
        <v>228</v>
      </c>
      <c r="O18" s="56" t="s">
        <v>116</v>
      </c>
      <c r="P18" s="19">
        <v>18</v>
      </c>
      <c r="Q18" s="18">
        <v>0</v>
      </c>
      <c r="R18" s="178">
        <f t="shared" si="6"/>
        <v>0</v>
      </c>
      <c r="S18" s="184">
        <f t="shared" si="7"/>
        <v>0</v>
      </c>
      <c r="T18" s="185">
        <f t="shared" si="8"/>
        <v>0</v>
      </c>
    </row>
    <row r="19" spans="2:20" ht="20.149999999999999" customHeight="1" x14ac:dyDescent="0.35">
      <c r="B19" s="27" t="s">
        <v>208</v>
      </c>
      <c r="C19" s="139">
        <v>736</v>
      </c>
      <c r="D19" s="139">
        <v>585</v>
      </c>
      <c r="E19" s="9" t="s">
        <v>190</v>
      </c>
      <c r="F19" s="15">
        <v>100</v>
      </c>
      <c r="G19" s="18">
        <v>2</v>
      </c>
      <c r="H19" s="173">
        <f t="shared" si="9"/>
        <v>200</v>
      </c>
      <c r="I19" s="184">
        <f t="shared" ref="I19:I25" si="11">C19*G19</f>
        <v>1472</v>
      </c>
      <c r="J19" s="185">
        <f t="shared" si="10"/>
        <v>1170</v>
      </c>
      <c r="L19" s="55" t="s">
        <v>91</v>
      </c>
      <c r="M19" s="149">
        <v>900</v>
      </c>
      <c r="N19" s="149">
        <v>252</v>
      </c>
      <c r="O19" s="56" t="s">
        <v>116</v>
      </c>
      <c r="P19" s="19">
        <v>20</v>
      </c>
      <c r="Q19" s="18"/>
      <c r="R19" s="178">
        <f t="shared" si="6"/>
        <v>0</v>
      </c>
      <c r="S19" s="184">
        <f t="shared" si="7"/>
        <v>0</v>
      </c>
      <c r="T19" s="185">
        <f t="shared" si="8"/>
        <v>0</v>
      </c>
    </row>
    <row r="20" spans="2:20" ht="20.149999999999999" customHeight="1" x14ac:dyDescent="0.35">
      <c r="B20" s="28" t="s">
        <v>109</v>
      </c>
      <c r="C20" s="140">
        <v>700</v>
      </c>
      <c r="D20" s="140">
        <v>575</v>
      </c>
      <c r="E20" s="11" t="s">
        <v>188</v>
      </c>
      <c r="F20" s="16">
        <v>25</v>
      </c>
      <c r="G20" s="18">
        <v>0</v>
      </c>
      <c r="H20" s="173">
        <f t="shared" si="9"/>
        <v>0</v>
      </c>
      <c r="I20" s="184">
        <f t="shared" si="11"/>
        <v>0</v>
      </c>
      <c r="J20" s="185">
        <f t="shared" si="10"/>
        <v>0</v>
      </c>
      <c r="L20" s="55" t="s">
        <v>92</v>
      </c>
      <c r="M20" s="149">
        <v>920</v>
      </c>
      <c r="N20" s="149">
        <v>264</v>
      </c>
      <c r="O20" s="56" t="s">
        <v>116</v>
      </c>
      <c r="P20" s="19">
        <v>21</v>
      </c>
      <c r="Q20" s="18">
        <v>0</v>
      </c>
      <c r="R20" s="178">
        <f t="shared" si="6"/>
        <v>0</v>
      </c>
      <c r="S20" s="184">
        <f t="shared" si="7"/>
        <v>0</v>
      </c>
      <c r="T20" s="185">
        <f t="shared" si="8"/>
        <v>0</v>
      </c>
    </row>
    <row r="21" spans="2:20" ht="21.75" customHeight="1" thickBot="1" x14ac:dyDescent="0.4">
      <c r="B21" s="27" t="s">
        <v>206</v>
      </c>
      <c r="C21" s="141">
        <v>660</v>
      </c>
      <c r="D21" s="139">
        <v>594</v>
      </c>
      <c r="E21" s="9" t="s">
        <v>190</v>
      </c>
      <c r="F21" s="15">
        <v>50</v>
      </c>
      <c r="G21" s="18"/>
      <c r="H21" s="173">
        <f t="shared" si="9"/>
        <v>0</v>
      </c>
      <c r="I21" s="184">
        <f t="shared" si="11"/>
        <v>0</v>
      </c>
      <c r="J21" s="185">
        <f t="shared" si="10"/>
        <v>0</v>
      </c>
      <c r="L21" s="57" t="s">
        <v>93</v>
      </c>
      <c r="M21" s="150">
        <v>950</v>
      </c>
      <c r="N21" s="150">
        <v>300</v>
      </c>
      <c r="O21" s="56" t="s">
        <v>116</v>
      </c>
      <c r="P21" s="19">
        <v>24</v>
      </c>
      <c r="Q21" s="18"/>
      <c r="R21" s="178">
        <f t="shared" si="6"/>
        <v>0</v>
      </c>
      <c r="S21" s="184">
        <f t="shared" si="7"/>
        <v>0</v>
      </c>
      <c r="T21" s="185">
        <f t="shared" si="8"/>
        <v>0</v>
      </c>
    </row>
    <row r="22" spans="2:20" ht="20.149999999999999" customHeight="1" thickBot="1" x14ac:dyDescent="0.5">
      <c r="B22" s="29" t="s">
        <v>105</v>
      </c>
      <c r="C22" s="159">
        <v>480</v>
      </c>
      <c r="D22" s="160">
        <v>320</v>
      </c>
      <c r="E22" s="161" t="s">
        <v>187</v>
      </c>
      <c r="F22" s="15">
        <v>40</v>
      </c>
      <c r="G22" s="18">
        <v>0</v>
      </c>
      <c r="H22" s="173">
        <f t="shared" si="9"/>
        <v>0</v>
      </c>
      <c r="I22" s="184">
        <f t="shared" si="11"/>
        <v>0</v>
      </c>
      <c r="J22" s="185">
        <f t="shared" si="10"/>
        <v>0</v>
      </c>
      <c r="M22" s="166"/>
      <c r="N22" s="167"/>
      <c r="O22" s="3" t="s">
        <v>75</v>
      </c>
      <c r="P22" s="4"/>
      <c r="Q22" s="5"/>
      <c r="R22" s="171">
        <f>SUM(R15:R21)</f>
        <v>0</v>
      </c>
      <c r="S22" s="186">
        <f>SUM(S15:S21)</f>
        <v>0</v>
      </c>
      <c r="T22" s="187">
        <f>SUM(T15:T21)</f>
        <v>0</v>
      </c>
    </row>
    <row r="23" spans="2:20" ht="20.149999999999999" customHeight="1" x14ac:dyDescent="0.35">
      <c r="B23" s="28" t="s">
        <v>111</v>
      </c>
      <c r="C23" s="140">
        <v>720</v>
      </c>
      <c r="D23" s="140">
        <v>600</v>
      </c>
      <c r="E23" s="11" t="s">
        <v>180</v>
      </c>
      <c r="F23" s="16">
        <v>40</v>
      </c>
      <c r="G23" s="18">
        <v>0</v>
      </c>
      <c r="H23" s="173">
        <f t="shared" si="9"/>
        <v>0</v>
      </c>
      <c r="I23" s="184">
        <f t="shared" si="11"/>
        <v>0</v>
      </c>
      <c r="J23" s="185">
        <f t="shared" si="10"/>
        <v>0</v>
      </c>
      <c r="M23" s="148"/>
      <c r="N23" s="148"/>
      <c r="S23" s="188"/>
      <c r="T23" s="188"/>
    </row>
    <row r="24" spans="2:20" ht="20.149999999999999" customHeight="1" thickBot="1" x14ac:dyDescent="0.4">
      <c r="B24" s="27" t="s">
        <v>209</v>
      </c>
      <c r="C24" s="139">
        <v>600</v>
      </c>
      <c r="D24" s="139">
        <v>483.8</v>
      </c>
      <c r="E24" s="9" t="s">
        <v>220</v>
      </c>
      <c r="F24" s="15">
        <v>50</v>
      </c>
      <c r="G24" s="18"/>
      <c r="H24" s="173">
        <f t="shared" si="9"/>
        <v>0</v>
      </c>
      <c r="I24" s="184">
        <f t="shared" si="11"/>
        <v>0</v>
      </c>
      <c r="J24" s="185">
        <f t="shared" si="10"/>
        <v>0</v>
      </c>
      <c r="M24" s="148"/>
      <c r="N24" s="148"/>
      <c r="S24" s="188"/>
      <c r="T24" s="188"/>
    </row>
    <row r="25" spans="2:20" ht="41.25" customHeight="1" thickBot="1" x14ac:dyDescent="0.4">
      <c r="B25" s="30" t="s">
        <v>207</v>
      </c>
      <c r="C25" s="141">
        <v>600</v>
      </c>
      <c r="D25" s="165">
        <v>492.4</v>
      </c>
      <c r="E25" s="9" t="s">
        <v>187</v>
      </c>
      <c r="F25" s="15">
        <v>40</v>
      </c>
      <c r="G25" s="18">
        <v>0</v>
      </c>
      <c r="H25" s="173">
        <f t="shared" si="9"/>
        <v>0</v>
      </c>
      <c r="I25" s="184">
        <f t="shared" si="11"/>
        <v>0</v>
      </c>
      <c r="J25" s="185">
        <f t="shared" si="10"/>
        <v>0</v>
      </c>
      <c r="L25" s="65" t="s">
        <v>123</v>
      </c>
      <c r="M25" s="144" t="s">
        <v>191</v>
      </c>
      <c r="N25" s="144" t="s">
        <v>198</v>
      </c>
      <c r="O25" s="62" t="s">
        <v>184</v>
      </c>
      <c r="P25" s="63" t="s">
        <v>22</v>
      </c>
      <c r="Q25" s="2" t="s">
        <v>23</v>
      </c>
      <c r="R25" s="179" t="s">
        <v>24</v>
      </c>
      <c r="S25" s="182" t="s">
        <v>24</v>
      </c>
      <c r="T25" s="183" t="s">
        <v>200</v>
      </c>
    </row>
    <row r="26" spans="2:20" ht="16" thickBot="1" x14ac:dyDescent="0.4">
      <c r="B26" s="26"/>
      <c r="C26" s="164"/>
      <c r="D26" s="138"/>
      <c r="E26" s="3" t="s">
        <v>75</v>
      </c>
      <c r="F26" s="4"/>
      <c r="G26" s="5"/>
      <c r="H26" s="171">
        <f>SUM(H18:H25)</f>
        <v>200</v>
      </c>
      <c r="I26" s="186">
        <f>SUM(I18:I25)</f>
        <v>1472</v>
      </c>
      <c r="J26" s="187">
        <f>SUM(J18:J25)</f>
        <v>1170</v>
      </c>
      <c r="L26" s="124" t="s">
        <v>138</v>
      </c>
      <c r="M26" s="151">
        <v>4000</v>
      </c>
      <c r="N26" s="151">
        <v>3800</v>
      </c>
      <c r="O26" s="71" t="s">
        <v>116</v>
      </c>
      <c r="P26" s="72">
        <v>200</v>
      </c>
      <c r="Q26" s="18"/>
      <c r="R26" s="180">
        <f t="shared" ref="R26:R36" si="12">Q26*P26</f>
        <v>0</v>
      </c>
      <c r="S26" s="184">
        <f>M26*Q26</f>
        <v>0</v>
      </c>
      <c r="T26" s="185">
        <f>N26*Q26</f>
        <v>0</v>
      </c>
    </row>
    <row r="27" spans="2:20" ht="19.5" customHeight="1" thickBot="1" x14ac:dyDescent="0.4">
      <c r="B27" s="26"/>
      <c r="C27" s="138"/>
      <c r="D27" s="138"/>
      <c r="L27" s="73" t="s">
        <v>212</v>
      </c>
      <c r="M27" s="152">
        <v>3600</v>
      </c>
      <c r="N27" s="152">
        <v>3570</v>
      </c>
      <c r="O27" s="71" t="s">
        <v>125</v>
      </c>
      <c r="P27" s="72">
        <v>210</v>
      </c>
      <c r="Q27" s="18">
        <v>0</v>
      </c>
      <c r="R27" s="180">
        <f t="shared" si="12"/>
        <v>0</v>
      </c>
      <c r="S27" s="184">
        <f t="shared" ref="S27:S36" si="13">M27*Q27</f>
        <v>0</v>
      </c>
      <c r="T27" s="185">
        <f t="shared" ref="T27:T36" si="14">N27*Q27</f>
        <v>0</v>
      </c>
    </row>
    <row r="28" spans="2:20" ht="35.15" customHeight="1" thickBot="1" x14ac:dyDescent="0.4">
      <c r="B28" s="67" t="s">
        <v>119</v>
      </c>
      <c r="C28" s="134" t="s">
        <v>191</v>
      </c>
      <c r="D28" s="134" t="s">
        <v>198</v>
      </c>
      <c r="E28" s="39" t="s">
        <v>184</v>
      </c>
      <c r="F28" s="40" t="s">
        <v>22</v>
      </c>
      <c r="G28" s="2" t="s">
        <v>23</v>
      </c>
      <c r="H28" s="174" t="s">
        <v>24</v>
      </c>
      <c r="I28" s="182" t="s">
        <v>217</v>
      </c>
      <c r="J28" s="183" t="s">
        <v>200</v>
      </c>
      <c r="L28" s="74" t="s">
        <v>73</v>
      </c>
      <c r="M28" s="162">
        <v>3300</v>
      </c>
      <c r="N28" s="162">
        <v>3260</v>
      </c>
      <c r="O28" s="71" t="s">
        <v>116</v>
      </c>
      <c r="P28" s="72">
        <v>200</v>
      </c>
      <c r="Q28" s="18">
        <v>0</v>
      </c>
      <c r="R28" s="180">
        <f t="shared" si="12"/>
        <v>0</v>
      </c>
      <c r="S28" s="184">
        <f t="shared" si="13"/>
        <v>0</v>
      </c>
      <c r="T28" s="185">
        <f t="shared" si="14"/>
        <v>0</v>
      </c>
    </row>
    <row r="29" spans="2:20" ht="20.149999999999999" customHeight="1" x14ac:dyDescent="0.35">
      <c r="B29" s="42" t="s">
        <v>142</v>
      </c>
      <c r="C29" s="142">
        <v>480</v>
      </c>
      <c r="D29" s="142">
        <v>199.2</v>
      </c>
      <c r="E29" s="43" t="s">
        <v>183</v>
      </c>
      <c r="F29" s="44">
        <v>30</v>
      </c>
      <c r="G29" s="18">
        <v>1</v>
      </c>
      <c r="H29" s="175">
        <f>G29*F29</f>
        <v>30</v>
      </c>
      <c r="I29" s="184">
        <f>C29*G29</f>
        <v>480</v>
      </c>
      <c r="J29" s="185">
        <f>D29*G29</f>
        <v>199.2</v>
      </c>
      <c r="L29" s="75" t="s">
        <v>156</v>
      </c>
      <c r="M29" s="153">
        <v>37980</v>
      </c>
      <c r="N29" s="153">
        <v>32310</v>
      </c>
      <c r="O29" s="71" t="s">
        <v>128</v>
      </c>
      <c r="P29" s="72">
        <v>3300</v>
      </c>
      <c r="Q29" s="18"/>
      <c r="R29" s="180">
        <f t="shared" si="12"/>
        <v>0</v>
      </c>
      <c r="S29" s="184">
        <f t="shared" si="13"/>
        <v>0</v>
      </c>
      <c r="T29" s="185">
        <f t="shared" si="14"/>
        <v>0</v>
      </c>
    </row>
    <row r="30" spans="2:20" ht="20.149999999999999" customHeight="1" x14ac:dyDescent="0.35">
      <c r="B30" s="42" t="s">
        <v>141</v>
      </c>
      <c r="C30" s="142">
        <v>640</v>
      </c>
      <c r="D30" s="142">
        <v>556</v>
      </c>
      <c r="E30" s="43" t="s">
        <v>187</v>
      </c>
      <c r="F30" s="44">
        <v>40</v>
      </c>
      <c r="G30" s="18">
        <v>0</v>
      </c>
      <c r="H30" s="175">
        <f>G30*F30</f>
        <v>0</v>
      </c>
      <c r="I30" s="184">
        <f>C30*G30</f>
        <v>0</v>
      </c>
      <c r="J30" s="185">
        <f>D30*G30</f>
        <v>0</v>
      </c>
      <c r="L30" s="75" t="s">
        <v>136</v>
      </c>
      <c r="M30" s="153">
        <v>30150</v>
      </c>
      <c r="N30" s="153">
        <v>30000</v>
      </c>
      <c r="O30" s="71" t="s">
        <v>127</v>
      </c>
      <c r="P30" s="72">
        <v>2700</v>
      </c>
      <c r="Q30" s="18"/>
      <c r="R30" s="180">
        <f t="shared" si="12"/>
        <v>0</v>
      </c>
      <c r="S30" s="184">
        <f t="shared" si="13"/>
        <v>0</v>
      </c>
      <c r="T30" s="185">
        <f t="shared" si="14"/>
        <v>0</v>
      </c>
    </row>
    <row r="31" spans="2:20" ht="20.149999999999999" customHeight="1" thickBot="1" x14ac:dyDescent="0.4">
      <c r="B31" s="125" t="s">
        <v>140</v>
      </c>
      <c r="C31" s="143">
        <v>820</v>
      </c>
      <c r="D31" s="143">
        <v>740</v>
      </c>
      <c r="E31" s="43" t="s">
        <v>183</v>
      </c>
      <c r="F31" s="44">
        <v>50</v>
      </c>
      <c r="G31" s="18">
        <v>0</v>
      </c>
      <c r="H31" s="175">
        <f>G31*F31</f>
        <v>0</v>
      </c>
      <c r="I31" s="184">
        <f>C31*G31</f>
        <v>0</v>
      </c>
      <c r="J31" s="185">
        <f>D31*G31</f>
        <v>0</v>
      </c>
      <c r="L31" s="73" t="s">
        <v>211</v>
      </c>
      <c r="M31" s="152">
        <v>50400</v>
      </c>
      <c r="N31" s="152">
        <v>46800</v>
      </c>
      <c r="O31" s="71" t="s">
        <v>128</v>
      </c>
      <c r="P31" s="72">
        <v>7200</v>
      </c>
      <c r="Q31" s="18"/>
      <c r="R31" s="180">
        <f t="shared" si="12"/>
        <v>0</v>
      </c>
      <c r="S31" s="184">
        <f t="shared" si="13"/>
        <v>0</v>
      </c>
      <c r="T31" s="185">
        <f t="shared" si="14"/>
        <v>0</v>
      </c>
    </row>
    <row r="32" spans="2:20" ht="20.149999999999999" customHeight="1" thickBot="1" x14ac:dyDescent="0.4">
      <c r="B32" s="128"/>
      <c r="C32" s="128"/>
      <c r="D32" s="128"/>
      <c r="E32" s="3" t="s">
        <v>75</v>
      </c>
      <c r="F32" s="4"/>
      <c r="G32" s="5"/>
      <c r="H32" s="171">
        <f>SUM(H29:H31)</f>
        <v>30</v>
      </c>
      <c r="I32" s="186">
        <f>SUM(I29:I31)</f>
        <v>480</v>
      </c>
      <c r="J32" s="187">
        <f>SUM(J29:J31)</f>
        <v>199.2</v>
      </c>
      <c r="L32" s="75" t="s">
        <v>137</v>
      </c>
      <c r="M32" s="153">
        <v>25200</v>
      </c>
      <c r="N32" s="153">
        <v>20700</v>
      </c>
      <c r="O32" s="71" t="s">
        <v>178</v>
      </c>
      <c r="P32" s="72">
        <v>1200</v>
      </c>
      <c r="Q32" s="18"/>
      <c r="R32" s="180">
        <f t="shared" si="12"/>
        <v>0</v>
      </c>
      <c r="S32" s="184">
        <f t="shared" si="13"/>
        <v>0</v>
      </c>
      <c r="T32" s="185">
        <f t="shared" si="14"/>
        <v>0</v>
      </c>
    </row>
    <row r="33" spans="2:20" ht="20.149999999999999" customHeight="1" x14ac:dyDescent="0.35">
      <c r="B33" s="26"/>
      <c r="C33" s="26"/>
      <c r="D33" s="26"/>
      <c r="L33" s="73" t="s">
        <v>1</v>
      </c>
      <c r="M33" s="152">
        <v>28800</v>
      </c>
      <c r="N33" s="152">
        <v>24000</v>
      </c>
      <c r="O33" s="71" t="s">
        <v>179</v>
      </c>
      <c r="P33" s="72">
        <v>1600</v>
      </c>
      <c r="Q33" s="18"/>
      <c r="R33" s="180">
        <f t="shared" si="12"/>
        <v>0</v>
      </c>
      <c r="S33" s="184">
        <f t="shared" si="13"/>
        <v>0</v>
      </c>
      <c r="T33" s="185">
        <f t="shared" si="14"/>
        <v>0</v>
      </c>
    </row>
    <row r="34" spans="2:20" ht="15.5" x14ac:dyDescent="0.35">
      <c r="L34" s="73" t="s">
        <v>132</v>
      </c>
      <c r="M34" s="152">
        <v>4320</v>
      </c>
      <c r="N34" s="152">
        <v>3585.6</v>
      </c>
      <c r="O34" s="71" t="s">
        <v>133</v>
      </c>
      <c r="P34" s="72">
        <v>360</v>
      </c>
      <c r="Q34" s="18"/>
      <c r="R34" s="180">
        <f t="shared" si="12"/>
        <v>0</v>
      </c>
      <c r="S34" s="184">
        <f t="shared" si="13"/>
        <v>0</v>
      </c>
      <c r="T34" s="185">
        <f t="shared" si="14"/>
        <v>0</v>
      </c>
    </row>
    <row r="35" spans="2:20" ht="19.5" customHeight="1" thickBot="1" x14ac:dyDescent="0.4">
      <c r="L35" s="76" t="s">
        <v>131</v>
      </c>
      <c r="M35" s="154">
        <v>7560</v>
      </c>
      <c r="N35" s="154">
        <v>6652.8</v>
      </c>
      <c r="O35" s="77" t="s">
        <v>133</v>
      </c>
      <c r="P35" s="78">
        <v>600</v>
      </c>
      <c r="Q35" s="60"/>
      <c r="R35" s="181">
        <f t="shared" ref="R35" si="15">Q35*P35</f>
        <v>0</v>
      </c>
      <c r="S35" s="184"/>
      <c r="T35" s="185"/>
    </row>
    <row r="36" spans="2:20" ht="39.25" customHeight="1" thickBot="1" x14ac:dyDescent="0.4">
      <c r="B36" s="81" t="s">
        <v>147</v>
      </c>
      <c r="C36" s="88" t="s">
        <v>148</v>
      </c>
      <c r="D36" s="216"/>
      <c r="L36" s="76" t="s">
        <v>218</v>
      </c>
      <c r="M36" s="154">
        <v>145920</v>
      </c>
      <c r="N36" s="154">
        <v>116736</v>
      </c>
      <c r="O36" s="77" t="s">
        <v>219</v>
      </c>
      <c r="P36" s="78">
        <v>23040</v>
      </c>
      <c r="Q36" s="60"/>
      <c r="R36" s="181">
        <f t="shared" si="12"/>
        <v>0</v>
      </c>
      <c r="S36" s="184">
        <f t="shared" si="13"/>
        <v>0</v>
      </c>
      <c r="T36" s="185">
        <f t="shared" si="14"/>
        <v>0</v>
      </c>
    </row>
    <row r="37" spans="2:20" ht="20.149999999999999" customHeight="1" thickBot="1" x14ac:dyDescent="0.4">
      <c r="B37" s="82" t="s">
        <v>5</v>
      </c>
      <c r="C37" s="83" t="s">
        <v>10</v>
      </c>
      <c r="D37" s="217"/>
      <c r="H37" s="127"/>
      <c r="I37" s="127"/>
      <c r="J37" s="127"/>
      <c r="K37" s="127"/>
      <c r="O37" s="61" t="s">
        <v>75</v>
      </c>
      <c r="P37" s="4"/>
      <c r="Q37" s="5"/>
      <c r="R37" s="171">
        <f>SUM(R26:R36)</f>
        <v>0</v>
      </c>
      <c r="S37" s="186">
        <f>SUM(S26:S36)</f>
        <v>0</v>
      </c>
      <c r="T37" s="187">
        <f>SUM(T26:T36)</f>
        <v>0</v>
      </c>
    </row>
    <row r="38" spans="2:20" ht="20.149999999999999" customHeight="1" x14ac:dyDescent="0.35">
      <c r="B38" s="84" t="s">
        <v>9</v>
      </c>
      <c r="C38" s="85" t="s">
        <v>12</v>
      </c>
      <c r="D38" s="218"/>
    </row>
    <row r="39" spans="2:20" ht="20.149999999999999" customHeight="1" x14ac:dyDescent="0.35">
      <c r="B39" s="84" t="s">
        <v>6</v>
      </c>
      <c r="C39" s="85" t="s">
        <v>11</v>
      </c>
      <c r="D39" s="218"/>
    </row>
    <row r="40" spans="2:20" ht="20.149999999999999" customHeight="1" x14ac:dyDescent="0.35">
      <c r="B40" s="84" t="s">
        <v>7</v>
      </c>
      <c r="C40" s="85" t="s">
        <v>13</v>
      </c>
      <c r="D40" s="218"/>
    </row>
    <row r="41" spans="2:20" ht="20.25" customHeight="1" x14ac:dyDescent="0.35">
      <c r="B41" s="84" t="s">
        <v>8</v>
      </c>
      <c r="C41" s="85" t="s">
        <v>14</v>
      </c>
      <c r="D41" s="218"/>
      <c r="H41" s="127"/>
      <c r="I41" s="127"/>
      <c r="J41" s="127"/>
      <c r="K41" s="127"/>
    </row>
    <row r="42" spans="2:20" ht="20.25" customHeight="1" x14ac:dyDescent="0.35">
      <c r="B42" s="84" t="s">
        <v>15</v>
      </c>
      <c r="C42" s="85" t="s">
        <v>18</v>
      </c>
      <c r="D42" s="218"/>
      <c r="I42" s="127"/>
      <c r="J42" s="127"/>
      <c r="K42" s="127"/>
    </row>
    <row r="43" spans="2:20" ht="20.25" customHeight="1" x14ac:dyDescent="0.35">
      <c r="B43" s="84" t="s">
        <v>16</v>
      </c>
      <c r="C43" s="85" t="s">
        <v>19</v>
      </c>
      <c r="D43" s="218"/>
    </row>
    <row r="44" spans="2:20" ht="21.25" customHeight="1" thickBot="1" x14ac:dyDescent="0.4">
      <c r="B44" s="86" t="s">
        <v>17</v>
      </c>
      <c r="C44" s="87" t="s">
        <v>20</v>
      </c>
      <c r="D44" s="219"/>
    </row>
    <row r="45" spans="2:20" ht="15" thickBot="1" x14ac:dyDescent="0.4"/>
    <row r="46" spans="2:20" ht="15" thickBot="1" x14ac:dyDescent="0.4">
      <c r="E46" s="204" t="s">
        <v>268</v>
      </c>
      <c r="F46" s="205"/>
      <c r="G46" s="204" t="s">
        <v>215</v>
      </c>
      <c r="H46" s="206"/>
    </row>
    <row r="47" spans="2:20" ht="20.25" customHeight="1" x14ac:dyDescent="0.35">
      <c r="B47" s="91" t="s">
        <v>151</v>
      </c>
      <c r="C47" s="95">
        <f>SUM(H15,H26,H32,R11,R22,R37)</f>
        <v>390</v>
      </c>
      <c r="E47" s="198" t="s">
        <v>193</v>
      </c>
      <c r="F47" s="208">
        <f>I15+I26+I32+S11+S22+S37</f>
        <v>5552</v>
      </c>
      <c r="G47" s="193" t="s">
        <v>201</v>
      </c>
      <c r="H47" s="207">
        <f>J15+J26+J32+T11+T22+T37</f>
        <v>4629.2</v>
      </c>
    </row>
    <row r="48" spans="2:20" ht="26.5" customHeight="1" thickBot="1" x14ac:dyDescent="0.4">
      <c r="B48" s="92" t="s">
        <v>159</v>
      </c>
      <c r="C48" s="93">
        <v>0.05</v>
      </c>
      <c r="E48" s="199" t="s">
        <v>196</v>
      </c>
      <c r="F48" s="200">
        <f>C47/F47</f>
        <v>7.0244956772334291E-2</v>
      </c>
      <c r="G48" s="194" t="s">
        <v>214</v>
      </c>
      <c r="H48" s="195">
        <f>C47/H47</f>
        <v>8.4247818197528732E-2</v>
      </c>
    </row>
    <row r="49" spans="2:18" ht="44.5" thickBot="1" x14ac:dyDescent="0.4">
      <c r="B49" s="92" t="s">
        <v>152</v>
      </c>
      <c r="C49" s="96">
        <f>C47*C48</f>
        <v>19.5</v>
      </c>
      <c r="E49" s="199" t="s">
        <v>194</v>
      </c>
      <c r="F49" s="200">
        <f>C49/F47</f>
        <v>3.5122478386167147E-3</v>
      </c>
      <c r="G49" s="194" t="s">
        <v>202</v>
      </c>
      <c r="H49" s="195">
        <f>C49/H47</f>
        <v>4.2123909098764371E-3</v>
      </c>
      <c r="L49" s="70" t="s">
        <v>177</v>
      </c>
      <c r="M49" s="70"/>
      <c r="N49" s="70"/>
      <c r="O49" s="37" t="s">
        <v>21</v>
      </c>
      <c r="P49" s="38" t="s">
        <v>22</v>
      </c>
      <c r="Q49" s="2" t="s">
        <v>23</v>
      </c>
      <c r="R49" s="54" t="s">
        <v>24</v>
      </c>
    </row>
    <row r="50" spans="2:18" x14ac:dyDescent="0.35">
      <c r="B50" s="540" t="s">
        <v>153</v>
      </c>
      <c r="C50" s="553">
        <f>C47+C49</f>
        <v>409.5</v>
      </c>
      <c r="E50" s="561" t="s">
        <v>195</v>
      </c>
      <c r="F50" s="201"/>
      <c r="G50" s="194"/>
      <c r="H50" s="195"/>
      <c r="L50" s="55" t="s">
        <v>78</v>
      </c>
      <c r="M50" s="129"/>
      <c r="N50" s="129"/>
      <c r="O50" s="56" t="s">
        <v>116</v>
      </c>
      <c r="P50" s="19">
        <v>50</v>
      </c>
      <c r="Q50" s="18"/>
      <c r="R50" s="20">
        <f t="shared" ref="R50:R70" si="16">Q50*P50</f>
        <v>0</v>
      </c>
    </row>
    <row r="51" spans="2:18" ht="15" thickBot="1" x14ac:dyDescent="0.4">
      <c r="B51" s="541"/>
      <c r="C51" s="554"/>
      <c r="E51" s="561"/>
      <c r="F51" s="200">
        <f>C50/F47</f>
        <v>7.3757204610951005E-2</v>
      </c>
      <c r="G51" s="194" t="s">
        <v>203</v>
      </c>
      <c r="H51" s="195">
        <f>C50/H47</f>
        <v>8.8460209107405166E-2</v>
      </c>
      <c r="L51" s="55" t="s">
        <v>79</v>
      </c>
      <c r="M51" s="129"/>
      <c r="N51" s="129"/>
      <c r="O51" s="56" t="s">
        <v>116</v>
      </c>
      <c r="P51" s="19">
        <v>26</v>
      </c>
      <c r="Q51" s="18"/>
      <c r="R51" s="20">
        <f t="shared" si="16"/>
        <v>0</v>
      </c>
    </row>
    <row r="52" spans="2:18" ht="17.5" thickBot="1" x14ac:dyDescent="0.4">
      <c r="E52" s="202" t="s">
        <v>197</v>
      </c>
      <c r="F52" s="203">
        <f>C57/F47</f>
        <v>7.7269452449567719E-2</v>
      </c>
      <c r="G52" s="196" t="s">
        <v>269</v>
      </c>
      <c r="H52" s="197">
        <f>C57/H47</f>
        <v>9.2672600017281601E-2</v>
      </c>
      <c r="L52" s="55" t="s">
        <v>100</v>
      </c>
      <c r="M52" s="129"/>
      <c r="N52" s="129"/>
      <c r="O52" s="56" t="s">
        <v>116</v>
      </c>
      <c r="P52" s="19">
        <v>12</v>
      </c>
      <c r="Q52" s="18"/>
      <c r="R52" s="20">
        <f t="shared" si="16"/>
        <v>0</v>
      </c>
    </row>
    <row r="53" spans="2:18" ht="16.5" thickBot="1" x14ac:dyDescent="0.4">
      <c r="B53" s="98" t="s">
        <v>157</v>
      </c>
      <c r="C53" s="99">
        <f>C49</f>
        <v>19.5</v>
      </c>
      <c r="H53" s="132"/>
      <c r="L53" s="55" t="s">
        <v>101</v>
      </c>
      <c r="M53" s="129"/>
      <c r="N53" s="129"/>
      <c r="O53" s="56" t="s">
        <v>116</v>
      </c>
      <c r="P53" s="19">
        <v>6</v>
      </c>
      <c r="Q53" s="18"/>
      <c r="R53" s="20">
        <f t="shared" si="16"/>
        <v>0</v>
      </c>
    </row>
    <row r="54" spans="2:18" x14ac:dyDescent="0.35">
      <c r="H54" s="132"/>
      <c r="L54" s="55" t="s">
        <v>80</v>
      </c>
      <c r="M54" s="129"/>
      <c r="N54" s="129"/>
      <c r="O54" s="56" t="s">
        <v>116</v>
      </c>
      <c r="P54" s="19">
        <v>7</v>
      </c>
      <c r="Q54" s="18"/>
      <c r="R54" s="20">
        <f t="shared" si="16"/>
        <v>0</v>
      </c>
    </row>
    <row r="55" spans="2:18" ht="21" x14ac:dyDescent="0.5">
      <c r="B55" s="94" t="s">
        <v>154</v>
      </c>
      <c r="H55" s="132"/>
      <c r="L55" s="55" t="s">
        <v>81</v>
      </c>
      <c r="M55" s="129"/>
      <c r="N55" s="129"/>
      <c r="O55" s="56" t="s">
        <v>116</v>
      </c>
      <c r="P55" s="19">
        <v>8</v>
      </c>
      <c r="Q55" s="18"/>
      <c r="R55" s="20">
        <f t="shared" si="16"/>
        <v>0</v>
      </c>
    </row>
    <row r="56" spans="2:18" x14ac:dyDescent="0.35">
      <c r="H56" s="132"/>
      <c r="L56" s="55" t="s">
        <v>82</v>
      </c>
      <c r="M56" s="129"/>
      <c r="N56" s="129"/>
      <c r="O56" s="56" t="s">
        <v>116</v>
      </c>
      <c r="P56" s="19">
        <v>8.5</v>
      </c>
      <c r="Q56" s="18"/>
      <c r="R56" s="20">
        <f t="shared" si="16"/>
        <v>0</v>
      </c>
    </row>
    <row r="57" spans="2:18" x14ac:dyDescent="0.35">
      <c r="B57" s="100" t="s">
        <v>158</v>
      </c>
      <c r="C57" s="101">
        <f>C50+C53</f>
        <v>429</v>
      </c>
      <c r="L57" s="55" t="s">
        <v>84</v>
      </c>
      <c r="M57" s="129"/>
      <c r="N57" s="129"/>
      <c r="O57" s="56" t="s">
        <v>116</v>
      </c>
      <c r="P57" s="19">
        <v>10</v>
      </c>
      <c r="Q57" s="18"/>
      <c r="R57" s="20">
        <f t="shared" si="16"/>
        <v>0</v>
      </c>
    </row>
    <row r="58" spans="2:18" x14ac:dyDescent="0.35">
      <c r="L58" s="55" t="s">
        <v>85</v>
      </c>
      <c r="M58" s="129"/>
      <c r="N58" s="129"/>
      <c r="O58" s="56" t="s">
        <v>116</v>
      </c>
      <c r="P58" s="19">
        <v>11</v>
      </c>
      <c r="Q58" s="18"/>
      <c r="R58" s="20">
        <f t="shared" si="16"/>
        <v>0</v>
      </c>
    </row>
    <row r="59" spans="2:18" x14ac:dyDescent="0.35">
      <c r="L59" s="55" t="s">
        <v>86</v>
      </c>
      <c r="M59" s="129"/>
      <c r="N59" s="129"/>
      <c r="O59" s="56" t="s">
        <v>116</v>
      </c>
      <c r="P59" s="19">
        <v>12</v>
      </c>
      <c r="Q59" s="18"/>
      <c r="R59" s="20">
        <f t="shared" si="16"/>
        <v>0</v>
      </c>
    </row>
    <row r="60" spans="2:18" x14ac:dyDescent="0.35">
      <c r="L60" s="55" t="s">
        <v>88</v>
      </c>
      <c r="M60" s="129"/>
      <c r="N60" s="129"/>
      <c r="O60" s="56" t="s">
        <v>116</v>
      </c>
      <c r="P60" s="19">
        <v>15</v>
      </c>
      <c r="Q60" s="18"/>
      <c r="R60" s="20">
        <f t="shared" si="16"/>
        <v>0</v>
      </c>
    </row>
    <row r="61" spans="2:18" x14ac:dyDescent="0.35">
      <c r="L61" s="55" t="s">
        <v>94</v>
      </c>
      <c r="M61" s="129"/>
      <c r="N61" s="129"/>
      <c r="O61" s="56" t="s">
        <v>116</v>
      </c>
      <c r="P61" s="19">
        <v>30</v>
      </c>
      <c r="Q61" s="18"/>
      <c r="R61" s="20">
        <f t="shared" si="16"/>
        <v>0</v>
      </c>
    </row>
    <row r="62" spans="2:18" x14ac:dyDescent="0.35">
      <c r="L62" s="55" t="s">
        <v>49</v>
      </c>
      <c r="M62" s="129"/>
      <c r="N62" s="129"/>
      <c r="O62" s="56" t="s">
        <v>116</v>
      </c>
      <c r="P62" s="19">
        <v>25</v>
      </c>
      <c r="Q62" s="18"/>
      <c r="R62" s="20">
        <f t="shared" si="16"/>
        <v>0</v>
      </c>
    </row>
    <row r="63" spans="2:18" x14ac:dyDescent="0.35">
      <c r="L63" s="55" t="s">
        <v>126</v>
      </c>
      <c r="M63" s="129"/>
      <c r="N63" s="129"/>
      <c r="O63" s="56" t="s">
        <v>116</v>
      </c>
      <c r="P63" s="19">
        <v>55</v>
      </c>
      <c r="Q63" s="18"/>
      <c r="R63" s="20">
        <f t="shared" si="16"/>
        <v>0</v>
      </c>
    </row>
    <row r="64" spans="2:18" x14ac:dyDescent="0.35">
      <c r="L64" s="55" t="s">
        <v>95</v>
      </c>
      <c r="M64" s="129"/>
      <c r="N64" s="129"/>
      <c r="O64" s="56" t="s">
        <v>116</v>
      </c>
      <c r="P64" s="19">
        <v>75</v>
      </c>
      <c r="Q64" s="18"/>
      <c r="R64" s="20">
        <f t="shared" si="16"/>
        <v>0</v>
      </c>
    </row>
    <row r="65" spans="12:18" x14ac:dyDescent="0.35">
      <c r="L65" s="55" t="s">
        <v>96</v>
      </c>
      <c r="M65" s="129"/>
      <c r="N65" s="129"/>
      <c r="O65" s="56" t="s">
        <v>116</v>
      </c>
      <c r="P65" s="19">
        <v>85</v>
      </c>
      <c r="Q65" s="18"/>
      <c r="R65" s="20">
        <f t="shared" si="16"/>
        <v>0</v>
      </c>
    </row>
    <row r="66" spans="12:18" ht="17" x14ac:dyDescent="0.35">
      <c r="L66" s="55" t="s">
        <v>102</v>
      </c>
      <c r="M66" s="129"/>
      <c r="N66" s="129"/>
      <c r="O66" s="56" t="s">
        <v>116</v>
      </c>
      <c r="P66" s="19">
        <v>40</v>
      </c>
      <c r="Q66" s="18"/>
      <c r="R66" s="20">
        <f t="shared" si="16"/>
        <v>0</v>
      </c>
    </row>
    <row r="67" spans="12:18" ht="17" x14ac:dyDescent="0.35">
      <c r="L67" s="55" t="s">
        <v>103</v>
      </c>
      <c r="M67" s="129"/>
      <c r="N67" s="129"/>
      <c r="O67" s="56" t="s">
        <v>116</v>
      </c>
      <c r="P67" s="19">
        <v>5</v>
      </c>
      <c r="Q67" s="18"/>
      <c r="R67" s="20">
        <f t="shared" si="16"/>
        <v>0</v>
      </c>
    </row>
    <row r="68" spans="12:18" x14ac:dyDescent="0.35">
      <c r="L68" s="55" t="s">
        <v>97</v>
      </c>
      <c r="M68" s="129"/>
      <c r="N68" s="129"/>
      <c r="O68" s="56" t="s">
        <v>116</v>
      </c>
      <c r="P68" s="19">
        <v>10</v>
      </c>
      <c r="Q68" s="18"/>
      <c r="R68" s="20">
        <f t="shared" si="16"/>
        <v>0</v>
      </c>
    </row>
    <row r="69" spans="12:18" x14ac:dyDescent="0.35">
      <c r="L69" s="55" t="s">
        <v>98</v>
      </c>
      <c r="M69" s="129"/>
      <c r="N69" s="129"/>
      <c r="O69" s="56" t="s">
        <v>116</v>
      </c>
      <c r="P69" s="19">
        <v>20</v>
      </c>
      <c r="Q69" s="18"/>
      <c r="R69" s="20">
        <f t="shared" si="16"/>
        <v>0</v>
      </c>
    </row>
    <row r="70" spans="12:18" ht="15" thickBot="1" x14ac:dyDescent="0.4">
      <c r="L70" s="57" t="s">
        <v>99</v>
      </c>
      <c r="M70" s="130"/>
      <c r="N70" s="130"/>
      <c r="O70" s="56" t="s">
        <v>116</v>
      </c>
      <c r="P70" s="19">
        <v>25</v>
      </c>
      <c r="Q70" s="18"/>
      <c r="R70" s="20">
        <f t="shared" si="16"/>
        <v>0</v>
      </c>
    </row>
    <row r="71" spans="12:18" ht="15" thickBot="1" x14ac:dyDescent="0.4">
      <c r="O71" s="3" t="s">
        <v>75</v>
      </c>
      <c r="P71" s="4"/>
      <c r="Q71" s="5"/>
      <c r="R71" s="14">
        <f>SUM(R50:R70)</f>
        <v>0</v>
      </c>
    </row>
  </sheetData>
  <mergeCells count="12">
    <mergeCell ref="B1:C2"/>
    <mergeCell ref="C50:C51"/>
    <mergeCell ref="M13:M14"/>
    <mergeCell ref="S13:S14"/>
    <mergeCell ref="N13:N14"/>
    <mergeCell ref="L13:L14"/>
    <mergeCell ref="O13:O14"/>
    <mergeCell ref="P13:P14"/>
    <mergeCell ref="Q13:Q14"/>
    <mergeCell ref="R13:R14"/>
    <mergeCell ref="B50:B51"/>
    <mergeCell ref="E50:E51"/>
  </mergeCells>
  <pageMargins left="0.25" right="0.25" top="0.75" bottom="0.75" header="0.3" footer="0.3"/>
  <pageSetup scale="3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B1FA2-C15D-4B86-845D-4C03096CC5E2}">
  <sheetPr codeName="Sheet4"/>
  <dimension ref="A1:F54"/>
  <sheetViews>
    <sheetView topLeftCell="A2" zoomScale="110" zoomScaleNormal="110" workbookViewId="0">
      <selection activeCell="G49" sqref="G49"/>
    </sheetView>
  </sheetViews>
  <sheetFormatPr defaultRowHeight="14.5" x14ac:dyDescent="0.35"/>
  <cols>
    <col min="1" max="1" width="36.54296875" customWidth="1"/>
    <col min="2" max="2" width="14.1796875" customWidth="1"/>
    <col min="3" max="3" width="12.26953125" customWidth="1"/>
    <col min="4" max="4" width="13.7265625" customWidth="1"/>
    <col min="5" max="5" width="12.7265625" customWidth="1"/>
    <col min="6" max="6" width="83.26953125" customWidth="1"/>
  </cols>
  <sheetData>
    <row r="1" spans="1:6" x14ac:dyDescent="0.35">
      <c r="A1" s="538" t="s">
        <v>270</v>
      </c>
      <c r="B1" s="539"/>
    </row>
    <row r="2" spans="1:6" x14ac:dyDescent="0.35">
      <c r="A2" s="539"/>
      <c r="B2" s="539"/>
    </row>
    <row r="3" spans="1:6" x14ac:dyDescent="0.35">
      <c r="A3" s="214" t="s">
        <v>262</v>
      </c>
      <c r="B3" s="214"/>
      <c r="C3" s="214"/>
      <c r="D3" s="214"/>
      <c r="E3" s="214"/>
      <c r="F3" s="214"/>
    </row>
    <row r="5" spans="1:6" x14ac:dyDescent="0.35">
      <c r="A5" s="192" t="s">
        <v>121</v>
      </c>
      <c r="B5" s="210" t="s">
        <v>259</v>
      </c>
      <c r="C5" s="210" t="s">
        <v>258</v>
      </c>
      <c r="D5" s="210" t="s">
        <v>260</v>
      </c>
      <c r="E5" s="210" t="s">
        <v>257</v>
      </c>
      <c r="F5" s="192" t="s">
        <v>256</v>
      </c>
    </row>
    <row r="6" spans="1:6" x14ac:dyDescent="0.35">
      <c r="A6" t="s">
        <v>255</v>
      </c>
      <c r="B6" s="190" t="s">
        <v>225</v>
      </c>
      <c r="C6" s="211"/>
      <c r="D6" s="190" t="s">
        <v>186</v>
      </c>
      <c r="E6" s="211">
        <v>40</v>
      </c>
      <c r="F6" t="s">
        <v>232</v>
      </c>
    </row>
    <row r="7" spans="1:6" x14ac:dyDescent="0.35">
      <c r="A7" t="s">
        <v>50</v>
      </c>
      <c r="B7" s="190" t="s">
        <v>250</v>
      </c>
      <c r="C7" s="211">
        <v>50</v>
      </c>
      <c r="D7" s="190" t="s">
        <v>236</v>
      </c>
      <c r="E7" s="211">
        <v>45</v>
      </c>
      <c r="F7" t="s">
        <v>234</v>
      </c>
    </row>
    <row r="8" spans="1:6" x14ac:dyDescent="0.35">
      <c r="A8" t="s">
        <v>76</v>
      </c>
      <c r="B8" s="190" t="s">
        <v>251</v>
      </c>
      <c r="C8" s="211">
        <v>61.25</v>
      </c>
      <c r="D8" s="190" t="s">
        <v>236</v>
      </c>
      <c r="E8" s="211">
        <v>55</v>
      </c>
      <c r="F8" t="s">
        <v>234</v>
      </c>
    </row>
    <row r="9" spans="1:6" x14ac:dyDescent="0.35">
      <c r="A9" t="s">
        <v>52</v>
      </c>
      <c r="B9" s="190" t="s">
        <v>222</v>
      </c>
      <c r="C9" s="211">
        <v>67</v>
      </c>
      <c r="D9" s="190" t="s">
        <v>236</v>
      </c>
      <c r="E9" s="211">
        <v>50</v>
      </c>
      <c r="F9" t="s">
        <v>234</v>
      </c>
    </row>
    <row r="10" spans="1:6" x14ac:dyDescent="0.35">
      <c r="A10" t="s">
        <v>61</v>
      </c>
      <c r="B10" s="190" t="s">
        <v>222</v>
      </c>
      <c r="C10" s="211">
        <v>52</v>
      </c>
      <c r="D10" s="190" t="s">
        <v>236</v>
      </c>
      <c r="E10" s="211">
        <v>40</v>
      </c>
      <c r="F10" t="s">
        <v>234</v>
      </c>
    </row>
    <row r="11" spans="1:6" x14ac:dyDescent="0.35">
      <c r="A11" t="s">
        <v>0</v>
      </c>
      <c r="B11" s="190" t="s">
        <v>254</v>
      </c>
      <c r="C11" s="211">
        <v>75</v>
      </c>
      <c r="D11" s="190" t="s">
        <v>240</v>
      </c>
      <c r="E11" s="211">
        <v>60</v>
      </c>
      <c r="F11" t="s">
        <v>234</v>
      </c>
    </row>
    <row r="12" spans="1:6" x14ac:dyDescent="0.35">
      <c r="A12" s="214" t="s">
        <v>62</v>
      </c>
      <c r="B12" s="190" t="s">
        <v>222</v>
      </c>
      <c r="C12" s="211">
        <v>73.5</v>
      </c>
      <c r="D12" s="190" t="s">
        <v>236</v>
      </c>
      <c r="E12" s="211">
        <v>125</v>
      </c>
      <c r="F12" t="s">
        <v>253</v>
      </c>
    </row>
    <row r="13" spans="1:6" x14ac:dyDescent="0.35">
      <c r="A13" t="s">
        <v>247</v>
      </c>
      <c r="B13" s="190" t="s">
        <v>225</v>
      </c>
      <c r="C13" s="211"/>
      <c r="D13" s="190" t="s">
        <v>236</v>
      </c>
      <c r="E13" s="211">
        <v>30</v>
      </c>
      <c r="F13" t="s">
        <v>232</v>
      </c>
    </row>
    <row r="14" spans="1:6" x14ac:dyDescent="0.35">
      <c r="A14" t="s">
        <v>252</v>
      </c>
      <c r="B14" s="190" t="s">
        <v>251</v>
      </c>
      <c r="C14" s="211">
        <v>43</v>
      </c>
      <c r="D14" s="190" t="s">
        <v>181</v>
      </c>
      <c r="E14" s="211">
        <v>40</v>
      </c>
      <c r="F14" t="s">
        <v>234</v>
      </c>
    </row>
    <row r="15" spans="1:6" x14ac:dyDescent="0.35">
      <c r="A15" t="s">
        <v>73</v>
      </c>
      <c r="B15" s="190" t="s">
        <v>251</v>
      </c>
      <c r="C15" s="211">
        <v>43</v>
      </c>
      <c r="D15" s="190" t="s">
        <v>181</v>
      </c>
      <c r="E15" s="211">
        <v>40</v>
      </c>
      <c r="F15" t="s">
        <v>234</v>
      </c>
    </row>
    <row r="16" spans="1:6" x14ac:dyDescent="0.35">
      <c r="A16" s="192" t="s">
        <v>120</v>
      </c>
      <c r="B16" s="210" t="s">
        <v>259</v>
      </c>
      <c r="C16" s="210" t="s">
        <v>258</v>
      </c>
      <c r="D16" s="210" t="s">
        <v>260</v>
      </c>
      <c r="E16" s="210" t="s">
        <v>257</v>
      </c>
      <c r="F16" s="192" t="s">
        <v>256</v>
      </c>
    </row>
    <row r="17" spans="1:6" x14ac:dyDescent="0.35">
      <c r="A17" t="s">
        <v>25</v>
      </c>
      <c r="B17" s="190" t="s">
        <v>250</v>
      </c>
      <c r="C17" s="211">
        <v>28</v>
      </c>
      <c r="D17" s="190" t="s">
        <v>236</v>
      </c>
      <c r="E17" s="211">
        <v>30</v>
      </c>
      <c r="F17" t="s">
        <v>237</v>
      </c>
    </row>
    <row r="18" spans="1:6" x14ac:dyDescent="0.35">
      <c r="A18" t="s">
        <v>32</v>
      </c>
      <c r="B18" s="190" t="s">
        <v>250</v>
      </c>
      <c r="C18" s="211">
        <v>100</v>
      </c>
      <c r="D18" s="190" t="s">
        <v>240</v>
      </c>
      <c r="E18" s="211">
        <v>100</v>
      </c>
    </row>
    <row r="19" spans="1:6" x14ac:dyDescent="0.35">
      <c r="A19" t="s">
        <v>249</v>
      </c>
      <c r="B19" s="190" t="s">
        <v>225</v>
      </c>
      <c r="C19" s="211"/>
      <c r="D19" s="190" t="s">
        <v>236</v>
      </c>
      <c r="E19" s="211">
        <v>25</v>
      </c>
      <c r="F19" t="s">
        <v>232</v>
      </c>
    </row>
    <row r="20" spans="1:6" x14ac:dyDescent="0.35">
      <c r="A20" s="214" t="s">
        <v>69</v>
      </c>
      <c r="B20" s="190" t="s">
        <v>248</v>
      </c>
      <c r="C20" s="211">
        <v>40</v>
      </c>
      <c r="D20" s="190" t="s">
        <v>240</v>
      </c>
      <c r="E20" s="211">
        <v>50</v>
      </c>
    </row>
    <row r="21" spans="1:6" x14ac:dyDescent="0.35">
      <c r="A21" t="s">
        <v>247</v>
      </c>
      <c r="B21" s="190" t="s">
        <v>225</v>
      </c>
      <c r="C21" s="211"/>
      <c r="D21" s="190" t="s">
        <v>236</v>
      </c>
      <c r="E21" s="211">
        <v>30</v>
      </c>
      <c r="F21" t="s">
        <v>232</v>
      </c>
    </row>
    <row r="22" spans="1:6" x14ac:dyDescent="0.35">
      <c r="A22" t="s">
        <v>246</v>
      </c>
      <c r="B22" s="190" t="s">
        <v>225</v>
      </c>
      <c r="C22" s="211"/>
      <c r="D22" s="190" t="s">
        <v>245</v>
      </c>
      <c r="E22" s="211">
        <v>40</v>
      </c>
      <c r="F22" t="s">
        <v>232</v>
      </c>
    </row>
    <row r="23" spans="1:6" x14ac:dyDescent="0.35">
      <c r="A23" s="214" t="s">
        <v>71</v>
      </c>
      <c r="B23" s="190" t="s">
        <v>222</v>
      </c>
      <c r="C23" s="211">
        <v>80</v>
      </c>
      <c r="D23" s="190" t="s">
        <v>236</v>
      </c>
      <c r="E23" s="211">
        <v>300</v>
      </c>
      <c r="F23" t="s">
        <v>244</v>
      </c>
    </row>
    <row r="24" spans="1:6" x14ac:dyDescent="0.35">
      <c r="A24" t="s">
        <v>74</v>
      </c>
      <c r="B24" s="190" t="s">
        <v>222</v>
      </c>
      <c r="C24" s="211">
        <v>40</v>
      </c>
      <c r="D24" s="190" t="s">
        <v>236</v>
      </c>
      <c r="E24" s="211">
        <v>40</v>
      </c>
    </row>
    <row r="25" spans="1:6" x14ac:dyDescent="0.35">
      <c r="A25" s="192" t="s">
        <v>119</v>
      </c>
      <c r="B25" s="210" t="s">
        <v>259</v>
      </c>
      <c r="C25" s="210" t="s">
        <v>258</v>
      </c>
      <c r="D25" s="210" t="s">
        <v>260</v>
      </c>
      <c r="E25" s="210" t="s">
        <v>257</v>
      </c>
      <c r="F25" s="192" t="s">
        <v>256</v>
      </c>
    </row>
    <row r="26" spans="1:6" x14ac:dyDescent="0.35">
      <c r="A26" t="s">
        <v>54</v>
      </c>
      <c r="B26" s="190" t="s">
        <v>223</v>
      </c>
      <c r="C26" s="211">
        <v>32.4</v>
      </c>
      <c r="D26" s="190" t="s">
        <v>241</v>
      </c>
      <c r="E26" s="211">
        <v>30</v>
      </c>
      <c r="F26" t="s">
        <v>234</v>
      </c>
    </row>
    <row r="27" spans="1:6" x14ac:dyDescent="0.35">
      <c r="A27" s="214" t="s">
        <v>56</v>
      </c>
      <c r="B27" s="190" t="s">
        <v>222</v>
      </c>
      <c r="C27" s="211">
        <v>16</v>
      </c>
      <c r="D27" s="190" t="s">
        <v>236</v>
      </c>
      <c r="E27" s="211">
        <v>40</v>
      </c>
      <c r="F27" t="s">
        <v>243</v>
      </c>
    </row>
    <row r="28" spans="1:6" x14ac:dyDescent="0.35">
      <c r="A28" t="s">
        <v>242</v>
      </c>
      <c r="B28" s="190" t="s">
        <v>222</v>
      </c>
      <c r="C28" s="211">
        <v>56</v>
      </c>
      <c r="D28" s="190" t="s">
        <v>241</v>
      </c>
      <c r="E28" s="211">
        <v>50</v>
      </c>
      <c r="F28" t="s">
        <v>234</v>
      </c>
    </row>
    <row r="29" spans="1:6" x14ac:dyDescent="0.35">
      <c r="A29" s="192" t="s">
        <v>118</v>
      </c>
      <c r="B29" s="210" t="s">
        <v>259</v>
      </c>
      <c r="C29" s="210" t="s">
        <v>258</v>
      </c>
      <c r="D29" s="210" t="s">
        <v>260</v>
      </c>
      <c r="E29" s="210" t="s">
        <v>257</v>
      </c>
      <c r="F29" s="192" t="s">
        <v>256</v>
      </c>
    </row>
    <row r="30" spans="1:6" x14ac:dyDescent="0.35">
      <c r="A30" s="214" t="s">
        <v>30</v>
      </c>
      <c r="B30" s="190" t="s">
        <v>223</v>
      </c>
      <c r="C30" s="211">
        <v>25.5</v>
      </c>
      <c r="D30" s="190" t="s">
        <v>240</v>
      </c>
      <c r="E30" s="211">
        <v>30</v>
      </c>
      <c r="F30" t="s">
        <v>239</v>
      </c>
    </row>
    <row r="31" spans="1:6" s="278" customFormat="1" x14ac:dyDescent="0.35">
      <c r="A31" s="281" t="s">
        <v>117</v>
      </c>
      <c r="B31" s="279" t="s">
        <v>225</v>
      </c>
      <c r="C31" s="280"/>
      <c r="D31" s="279" t="s">
        <v>4</v>
      </c>
      <c r="E31" s="280">
        <v>10</v>
      </c>
      <c r="F31" s="278" t="s">
        <v>238</v>
      </c>
    </row>
    <row r="32" spans="1:6" x14ac:dyDescent="0.35">
      <c r="A32" t="s">
        <v>55</v>
      </c>
      <c r="B32" s="190" t="s">
        <v>223</v>
      </c>
      <c r="C32" s="211">
        <v>14</v>
      </c>
      <c r="D32" s="190" t="s">
        <v>236</v>
      </c>
      <c r="E32" s="211">
        <v>15</v>
      </c>
      <c r="F32" t="s">
        <v>237</v>
      </c>
    </row>
    <row r="33" spans="1:6" s="278" customFormat="1" x14ac:dyDescent="0.35">
      <c r="A33" s="278" t="s">
        <v>129</v>
      </c>
      <c r="B33" s="279" t="s">
        <v>225</v>
      </c>
      <c r="C33" s="280"/>
      <c r="D33" s="279" t="s">
        <v>236</v>
      </c>
      <c r="E33" s="280">
        <v>25</v>
      </c>
      <c r="F33" s="278" t="s">
        <v>235</v>
      </c>
    </row>
    <row r="34" spans="1:6" x14ac:dyDescent="0.35">
      <c r="A34" t="s">
        <v>70</v>
      </c>
      <c r="B34" s="190" t="s">
        <v>222</v>
      </c>
      <c r="C34" s="211">
        <v>480</v>
      </c>
      <c r="D34" s="190" t="s">
        <v>2</v>
      </c>
      <c r="E34" s="211">
        <v>400</v>
      </c>
      <c r="F34" t="s">
        <v>234</v>
      </c>
    </row>
    <row r="35" spans="1:6" x14ac:dyDescent="0.35">
      <c r="A35" t="s">
        <v>233</v>
      </c>
      <c r="B35" s="190" t="s">
        <v>225</v>
      </c>
      <c r="C35" s="211"/>
      <c r="D35" s="190" t="s">
        <v>2</v>
      </c>
      <c r="E35" s="211">
        <v>20</v>
      </c>
      <c r="F35" t="s">
        <v>232</v>
      </c>
    </row>
    <row r="36" spans="1:6" x14ac:dyDescent="0.35">
      <c r="A36" s="192" t="s">
        <v>122</v>
      </c>
      <c r="B36" s="210" t="s">
        <v>259</v>
      </c>
      <c r="C36" s="210" t="s">
        <v>258</v>
      </c>
      <c r="D36" s="210" t="s">
        <v>260</v>
      </c>
      <c r="E36" s="210" t="s">
        <v>257</v>
      </c>
      <c r="F36" s="192" t="s">
        <v>256</v>
      </c>
    </row>
    <row r="37" spans="1:6" x14ac:dyDescent="0.35">
      <c r="A37" t="s">
        <v>83</v>
      </c>
      <c r="B37" t="s">
        <v>231</v>
      </c>
      <c r="C37" s="212"/>
      <c r="E37" s="212"/>
    </row>
    <row r="38" spans="1:6" x14ac:dyDescent="0.35">
      <c r="A38" t="s">
        <v>87</v>
      </c>
      <c r="B38" t="s">
        <v>231</v>
      </c>
      <c r="C38" s="212"/>
      <c r="E38" s="212"/>
    </row>
    <row r="39" spans="1:6" x14ac:dyDescent="0.35">
      <c r="A39" t="s">
        <v>89</v>
      </c>
      <c r="B39" t="s">
        <v>231</v>
      </c>
      <c r="C39" s="212"/>
      <c r="E39" s="212"/>
    </row>
    <row r="40" spans="1:6" x14ac:dyDescent="0.35">
      <c r="A40" t="s">
        <v>90</v>
      </c>
      <c r="B40" t="s">
        <v>231</v>
      </c>
      <c r="C40" s="212"/>
      <c r="E40" s="212"/>
    </row>
    <row r="41" spans="1:6" x14ac:dyDescent="0.35">
      <c r="A41" t="s">
        <v>91</v>
      </c>
      <c r="B41" t="s">
        <v>231</v>
      </c>
      <c r="C41" s="212"/>
      <c r="E41" s="212"/>
    </row>
    <row r="42" spans="1:6" x14ac:dyDescent="0.35">
      <c r="A42" t="s">
        <v>92</v>
      </c>
      <c r="B42" t="s">
        <v>231</v>
      </c>
      <c r="C42" s="212"/>
      <c r="E42" s="212"/>
    </row>
    <row r="43" spans="1:6" x14ac:dyDescent="0.35">
      <c r="A43" t="s">
        <v>93</v>
      </c>
      <c r="B43" t="s">
        <v>231</v>
      </c>
      <c r="C43" s="212"/>
      <c r="E43" s="212"/>
    </row>
    <row r="44" spans="1:6" x14ac:dyDescent="0.35">
      <c r="A44" s="192" t="s">
        <v>123</v>
      </c>
      <c r="B44" s="210" t="s">
        <v>259</v>
      </c>
      <c r="C44" s="210" t="s">
        <v>258</v>
      </c>
      <c r="D44" s="210" t="s">
        <v>260</v>
      </c>
      <c r="E44" s="210" t="s">
        <v>257</v>
      </c>
      <c r="F44" s="192" t="s">
        <v>256</v>
      </c>
    </row>
    <row r="45" spans="1:6" x14ac:dyDescent="0.35">
      <c r="A45" t="s">
        <v>230</v>
      </c>
      <c r="B45" s="209" t="s">
        <v>225</v>
      </c>
      <c r="C45" s="213"/>
      <c r="D45" s="209" t="s">
        <v>229</v>
      </c>
      <c r="E45" s="213">
        <v>200</v>
      </c>
    </row>
    <row r="46" spans="1:6" x14ac:dyDescent="0.35">
      <c r="A46" t="s">
        <v>72</v>
      </c>
      <c r="B46" s="209" t="s">
        <v>228</v>
      </c>
      <c r="C46" s="213">
        <v>172</v>
      </c>
      <c r="D46" s="209" t="s">
        <v>229</v>
      </c>
      <c r="E46" s="213">
        <v>200</v>
      </c>
    </row>
    <row r="47" spans="1:6" x14ac:dyDescent="0.35">
      <c r="A47" t="s">
        <v>73</v>
      </c>
      <c r="B47" s="209" t="s">
        <v>228</v>
      </c>
      <c r="C47" s="213">
        <v>181</v>
      </c>
      <c r="D47" s="209" t="s">
        <v>125</v>
      </c>
      <c r="E47" s="213">
        <v>210</v>
      </c>
    </row>
    <row r="48" spans="1:6" x14ac:dyDescent="0.35">
      <c r="A48" t="s">
        <v>156</v>
      </c>
      <c r="B48" s="209" t="s">
        <v>222</v>
      </c>
      <c r="C48" s="213">
        <v>2610</v>
      </c>
      <c r="D48" s="209" t="s">
        <v>128</v>
      </c>
      <c r="E48" s="213">
        <v>3300</v>
      </c>
      <c r="F48" t="s">
        <v>227</v>
      </c>
    </row>
    <row r="49" spans="1:6" x14ac:dyDescent="0.35">
      <c r="A49" t="s">
        <v>136</v>
      </c>
      <c r="B49" s="209" t="s">
        <v>222</v>
      </c>
      <c r="C49" s="213">
        <v>2175</v>
      </c>
      <c r="D49" s="209" t="s">
        <v>127</v>
      </c>
      <c r="E49" s="213">
        <v>2700</v>
      </c>
      <c r="F49" t="s">
        <v>227</v>
      </c>
    </row>
    <row r="50" spans="1:6" x14ac:dyDescent="0.35">
      <c r="A50" s="214" t="s">
        <v>130</v>
      </c>
      <c r="B50" s="209" t="s">
        <v>222</v>
      </c>
      <c r="C50" s="213">
        <v>2646</v>
      </c>
      <c r="D50" s="209" t="s">
        <v>128</v>
      </c>
      <c r="E50" s="213">
        <v>7200</v>
      </c>
      <c r="F50" t="s">
        <v>226</v>
      </c>
    </row>
    <row r="51" spans="1:6" x14ac:dyDescent="0.35">
      <c r="A51" t="s">
        <v>137</v>
      </c>
      <c r="B51" s="209" t="s">
        <v>225</v>
      </c>
      <c r="C51" s="213"/>
      <c r="D51" s="209" t="s">
        <v>128</v>
      </c>
      <c r="E51" s="213">
        <v>1200</v>
      </c>
    </row>
    <row r="52" spans="1:6" x14ac:dyDescent="0.35">
      <c r="A52" t="s">
        <v>1</v>
      </c>
      <c r="B52" s="209" t="s">
        <v>225</v>
      </c>
      <c r="C52" s="213"/>
      <c r="D52" s="209" t="s">
        <v>224</v>
      </c>
      <c r="E52" s="213">
        <v>1600</v>
      </c>
    </row>
    <row r="53" spans="1:6" x14ac:dyDescent="0.35">
      <c r="A53" t="s">
        <v>132</v>
      </c>
      <c r="B53" s="209" t="s">
        <v>223</v>
      </c>
      <c r="C53" s="213">
        <v>302.39999999999998</v>
      </c>
      <c r="D53" s="209" t="s">
        <v>221</v>
      </c>
      <c r="E53" s="213">
        <v>360</v>
      </c>
    </row>
    <row r="54" spans="1:6" x14ac:dyDescent="0.35">
      <c r="A54" t="s">
        <v>131</v>
      </c>
      <c r="B54" s="209" t="s">
        <v>222</v>
      </c>
      <c r="C54" s="213">
        <v>504</v>
      </c>
      <c r="D54" s="209" t="s">
        <v>221</v>
      </c>
      <c r="E54" s="213">
        <v>600</v>
      </c>
    </row>
  </sheetData>
  <mergeCells count="1">
    <mergeCell ref="A1:B2"/>
  </mergeCells>
  <pageMargins left="0.7" right="0.7" top="0.75" bottom="0.75" header="0.3" footer="0.3"/>
  <pageSetup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FACCD-AADC-4109-94C9-16C0C61E6568}">
  <sheetPr codeName="Sheet5"/>
  <dimension ref="A1:W57"/>
  <sheetViews>
    <sheetView zoomScale="90" zoomScaleNormal="90" workbookViewId="0">
      <pane ySplit="2" topLeftCell="A3" activePane="bottomLeft" state="frozen"/>
      <selection pane="bottomLeft" sqref="A1:N1048576"/>
    </sheetView>
  </sheetViews>
  <sheetFormatPr defaultColWidth="9.1796875" defaultRowHeight="14.5" x14ac:dyDescent="0.35"/>
  <cols>
    <col min="1" max="1" width="51" style="233" bestFit="1" customWidth="1"/>
    <col min="2" max="2" width="11.7265625" style="233" customWidth="1"/>
    <col min="3" max="3" width="8.26953125" style="237" customWidth="1"/>
    <col min="4" max="4" width="10.81640625" style="237" customWidth="1"/>
    <col min="5" max="5" width="15.453125" style="237" customWidth="1"/>
    <col min="6" max="11" width="9.1796875" style="233" customWidth="1"/>
    <col min="12" max="12" width="17.81640625" style="233" customWidth="1"/>
    <col min="13" max="13" width="22" style="233" customWidth="1"/>
    <col min="14" max="14" width="21.453125" style="233" customWidth="1"/>
    <col min="15" max="15" width="9.453125" style="270" bestFit="1" customWidth="1"/>
    <col min="16" max="16" width="9.453125" style="233" customWidth="1"/>
    <col min="17" max="17" width="9.1796875" style="233" hidden="1" customWidth="1"/>
    <col min="18" max="18" width="9.1796875" style="233" customWidth="1"/>
    <col min="19" max="19" width="41.453125" style="233" customWidth="1"/>
    <col min="20" max="21" width="12" style="233" customWidth="1"/>
    <col min="22" max="22" width="11" style="233" customWidth="1"/>
    <col min="23" max="23" width="9.453125" style="233" bestFit="1" customWidth="1"/>
    <col min="24" max="16384" width="9.1796875" style="233"/>
  </cols>
  <sheetData>
    <row r="1" spans="1:23" ht="21.25" customHeight="1" thickBot="1" x14ac:dyDescent="0.4">
      <c r="B1" s="234"/>
      <c r="C1" s="562" t="s">
        <v>314</v>
      </c>
      <c r="D1" s="562"/>
      <c r="E1" s="562"/>
      <c r="F1" s="563" t="s">
        <v>316</v>
      </c>
      <c r="G1" s="564"/>
      <c r="H1" s="564"/>
      <c r="I1" s="565" t="s">
        <v>317</v>
      </c>
      <c r="J1" s="565"/>
      <c r="K1" s="565"/>
      <c r="Q1" s="233" t="s">
        <v>381</v>
      </c>
    </row>
    <row r="2" spans="1:23" s="266" customFormat="1" ht="76.75" customHeight="1" thickBot="1" x14ac:dyDescent="0.4">
      <c r="A2" s="267" t="s">
        <v>305</v>
      </c>
      <c r="B2" s="234" t="s">
        <v>21</v>
      </c>
      <c r="C2" s="243" t="s">
        <v>22</v>
      </c>
      <c r="D2" s="243" t="s">
        <v>306</v>
      </c>
      <c r="E2" s="244" t="s">
        <v>307</v>
      </c>
      <c r="F2" s="241" t="s">
        <v>22</v>
      </c>
      <c r="G2" s="241" t="s">
        <v>306</v>
      </c>
      <c r="H2" s="242" t="s">
        <v>307</v>
      </c>
      <c r="I2" s="239" t="s">
        <v>22</v>
      </c>
      <c r="J2" s="239" t="s">
        <v>306</v>
      </c>
      <c r="K2" s="240" t="s">
        <v>307</v>
      </c>
      <c r="L2" s="267" t="s">
        <v>322</v>
      </c>
      <c r="M2" s="267" t="s">
        <v>2</v>
      </c>
      <c r="N2" s="268" t="s">
        <v>260</v>
      </c>
      <c r="O2" s="268" t="s">
        <v>399</v>
      </c>
      <c r="P2" s="268" t="s">
        <v>400</v>
      </c>
      <c r="S2" s="268" t="s">
        <v>394</v>
      </c>
      <c r="T2" s="268" t="s">
        <v>384</v>
      </c>
      <c r="U2" s="268" t="s">
        <v>385</v>
      </c>
      <c r="V2" s="268" t="s">
        <v>404</v>
      </c>
      <c r="W2" s="268" t="s">
        <v>392</v>
      </c>
    </row>
    <row r="3" spans="1:23" x14ac:dyDescent="0.35">
      <c r="A3" s="251" t="s">
        <v>119</v>
      </c>
      <c r="B3" s="251"/>
      <c r="C3" s="249"/>
      <c r="D3" s="249"/>
      <c r="E3" s="250"/>
      <c r="F3" s="252"/>
      <c r="G3" s="252"/>
      <c r="H3" s="252"/>
      <c r="I3" s="252"/>
      <c r="J3" s="252"/>
      <c r="K3" s="252"/>
      <c r="L3" s="252"/>
      <c r="M3" s="252"/>
      <c r="N3" s="252"/>
      <c r="O3" s="282"/>
      <c r="P3" s="252"/>
      <c r="Q3" s="252"/>
      <c r="S3" s="233" t="s">
        <v>395</v>
      </c>
      <c r="T3" s="270" t="s">
        <v>344</v>
      </c>
      <c r="U3" s="270" t="s">
        <v>389</v>
      </c>
      <c r="V3" s="270" t="s">
        <v>229</v>
      </c>
      <c r="W3" s="303">
        <v>100</v>
      </c>
    </row>
    <row r="4" spans="1:23" x14ac:dyDescent="0.35">
      <c r="A4" s="233" t="s">
        <v>54</v>
      </c>
      <c r="B4" s="233" t="s">
        <v>328</v>
      </c>
      <c r="C4" s="235">
        <v>10</v>
      </c>
      <c r="D4" s="235">
        <v>2</v>
      </c>
      <c r="E4" s="236">
        <f t="shared" ref="E4:E32" si="0">C4+D4</f>
        <v>12</v>
      </c>
      <c r="F4" s="238">
        <v>0.15</v>
      </c>
      <c r="G4" s="238">
        <v>0.05</v>
      </c>
      <c r="H4" s="238">
        <v>0.2</v>
      </c>
      <c r="I4" s="238">
        <v>0.3</v>
      </c>
      <c r="J4" s="238">
        <v>0.05</v>
      </c>
      <c r="K4" s="238">
        <v>0.35</v>
      </c>
      <c r="L4" s="270" t="s">
        <v>323</v>
      </c>
      <c r="M4" s="270" t="s">
        <v>324</v>
      </c>
      <c r="N4" s="209" t="s">
        <v>377</v>
      </c>
      <c r="O4" s="213">
        <v>30</v>
      </c>
      <c r="P4" s="273">
        <f>O4/Q4</f>
        <v>24</v>
      </c>
      <c r="Q4" s="270">
        <v>1.25</v>
      </c>
      <c r="S4" s="233" t="s">
        <v>72</v>
      </c>
      <c r="T4" s="270" t="s">
        <v>346</v>
      </c>
      <c r="U4" s="270" t="s">
        <v>390</v>
      </c>
      <c r="V4" s="270" t="s">
        <v>125</v>
      </c>
      <c r="W4" s="303">
        <v>250</v>
      </c>
    </row>
    <row r="5" spans="1:23" s="269" customFormat="1" ht="29.9" customHeight="1" x14ac:dyDescent="0.35">
      <c r="A5" s="269" t="s">
        <v>56</v>
      </c>
      <c r="B5" s="269" t="s">
        <v>3</v>
      </c>
      <c r="C5" s="235">
        <v>2</v>
      </c>
      <c r="D5" s="235">
        <v>2</v>
      </c>
      <c r="E5" s="236">
        <f>C5+D5</f>
        <v>4</v>
      </c>
      <c r="F5" s="272">
        <v>1.5</v>
      </c>
      <c r="G5" s="272">
        <v>1</v>
      </c>
      <c r="H5" s="272">
        <v>2.5</v>
      </c>
      <c r="I5" s="272">
        <v>1.5</v>
      </c>
      <c r="J5" s="272">
        <v>1</v>
      </c>
      <c r="K5" s="272">
        <v>2.5</v>
      </c>
      <c r="L5" s="266" t="s">
        <v>326</v>
      </c>
      <c r="M5" s="266" t="s">
        <v>325</v>
      </c>
      <c r="N5" s="271" t="s">
        <v>327</v>
      </c>
      <c r="O5" s="213">
        <v>30</v>
      </c>
      <c r="P5" s="273">
        <f t="shared" ref="P5:P32" si="1">O5/Q5</f>
        <v>24</v>
      </c>
      <c r="Q5" s="270">
        <v>1.25</v>
      </c>
      <c r="S5" s="269" t="s">
        <v>73</v>
      </c>
      <c r="T5" s="270" t="s">
        <v>344</v>
      </c>
      <c r="U5" s="270" t="s">
        <v>389</v>
      </c>
      <c r="V5" s="270" t="s">
        <v>229</v>
      </c>
      <c r="W5" s="303">
        <v>250</v>
      </c>
    </row>
    <row r="6" spans="1:23" x14ac:dyDescent="0.35">
      <c r="A6" s="233" t="s">
        <v>59</v>
      </c>
      <c r="B6" s="233" t="s">
        <v>328</v>
      </c>
      <c r="C6" s="235">
        <v>25</v>
      </c>
      <c r="D6" s="235">
        <v>3</v>
      </c>
      <c r="E6" s="236">
        <f>C6+D6</f>
        <v>28</v>
      </c>
      <c r="F6" s="238">
        <v>0.4</v>
      </c>
      <c r="G6" s="238">
        <v>0.1</v>
      </c>
      <c r="H6" s="238">
        <v>0.5</v>
      </c>
      <c r="I6" s="238"/>
      <c r="J6" s="238"/>
      <c r="K6" s="238"/>
      <c r="L6" s="270" t="s">
        <v>329</v>
      </c>
      <c r="M6" s="270" t="s">
        <v>330</v>
      </c>
      <c r="N6" s="209" t="s">
        <v>377</v>
      </c>
      <c r="O6" s="213">
        <v>50</v>
      </c>
      <c r="P6" s="273">
        <f t="shared" si="1"/>
        <v>40</v>
      </c>
      <c r="Q6" s="270">
        <v>1.25</v>
      </c>
      <c r="S6" s="233" t="s">
        <v>156</v>
      </c>
      <c r="T6" s="270" t="s">
        <v>387</v>
      </c>
      <c r="U6" s="270" t="s">
        <v>386</v>
      </c>
      <c r="V6" s="270" t="s">
        <v>128</v>
      </c>
      <c r="W6" s="303">
        <v>2400</v>
      </c>
    </row>
    <row r="7" spans="1:23" x14ac:dyDescent="0.35">
      <c r="A7" s="254" t="s">
        <v>318</v>
      </c>
      <c r="B7" s="254"/>
      <c r="C7" s="255"/>
      <c r="D7" s="255"/>
      <c r="E7" s="256"/>
      <c r="F7" s="257"/>
      <c r="G7" s="257"/>
      <c r="H7" s="257"/>
      <c r="I7" s="257"/>
      <c r="J7" s="257"/>
      <c r="K7" s="257"/>
      <c r="L7" s="257"/>
      <c r="M7" s="257"/>
      <c r="N7" s="257"/>
      <c r="O7" s="283"/>
      <c r="P7" s="274"/>
      <c r="Q7" s="257"/>
      <c r="S7" s="233" t="s">
        <v>136</v>
      </c>
      <c r="T7" s="270" t="s">
        <v>358</v>
      </c>
      <c r="U7" s="270" t="s">
        <v>388</v>
      </c>
      <c r="V7" s="270" t="s">
        <v>127</v>
      </c>
      <c r="W7" s="303">
        <v>2000</v>
      </c>
    </row>
    <row r="8" spans="1:23" x14ac:dyDescent="0.35">
      <c r="A8" s="233" t="s">
        <v>30</v>
      </c>
      <c r="B8" s="233" t="s">
        <v>3</v>
      </c>
      <c r="C8" s="235">
        <v>10</v>
      </c>
      <c r="D8" s="235">
        <v>4</v>
      </c>
      <c r="E8" s="236">
        <f>C8+D8</f>
        <v>14</v>
      </c>
      <c r="F8" s="238">
        <v>10</v>
      </c>
      <c r="G8" s="238">
        <v>4</v>
      </c>
      <c r="H8" s="238">
        <v>14</v>
      </c>
      <c r="I8" s="238">
        <v>16.5</v>
      </c>
      <c r="J8" s="238">
        <v>9</v>
      </c>
      <c r="K8" s="238">
        <v>25.5</v>
      </c>
      <c r="L8" s="270" t="s">
        <v>336</v>
      </c>
      <c r="M8" s="270" t="s">
        <v>337</v>
      </c>
      <c r="N8" s="270" t="s">
        <v>401</v>
      </c>
      <c r="O8" s="213">
        <v>25</v>
      </c>
      <c r="P8" s="273">
        <f t="shared" si="1"/>
        <v>20</v>
      </c>
      <c r="Q8" s="270">
        <v>1.25</v>
      </c>
      <c r="S8" s="233" t="s">
        <v>130</v>
      </c>
      <c r="T8" s="270" t="s">
        <v>387</v>
      </c>
      <c r="U8" s="270" t="s">
        <v>386</v>
      </c>
      <c r="V8" s="270" t="s">
        <v>128</v>
      </c>
      <c r="W8" s="303">
        <v>3200</v>
      </c>
    </row>
    <row r="9" spans="1:23" s="269" customFormat="1" ht="15.65" customHeight="1" x14ac:dyDescent="0.35">
      <c r="A9" s="269" t="s">
        <v>55</v>
      </c>
      <c r="B9" s="269" t="s">
        <v>310</v>
      </c>
      <c r="C9" s="235"/>
      <c r="D9" s="235"/>
      <c r="E9" s="236"/>
      <c r="F9" s="272">
        <v>0.6</v>
      </c>
      <c r="G9" s="272">
        <v>0.2</v>
      </c>
      <c r="H9" s="272">
        <v>0.8</v>
      </c>
      <c r="I9" s="272">
        <v>0.8</v>
      </c>
      <c r="J9" s="272">
        <v>0.2</v>
      </c>
      <c r="K9" s="272">
        <v>1</v>
      </c>
      <c r="L9" s="266" t="s">
        <v>334</v>
      </c>
      <c r="M9" s="270" t="s">
        <v>335</v>
      </c>
      <c r="N9" s="270" t="s">
        <v>378</v>
      </c>
      <c r="O9" s="213">
        <v>15</v>
      </c>
      <c r="P9" s="273">
        <f t="shared" si="1"/>
        <v>12</v>
      </c>
      <c r="Q9" s="270">
        <v>1.25</v>
      </c>
      <c r="S9" s="269" t="s">
        <v>397</v>
      </c>
      <c r="T9" s="270" t="s">
        <v>387</v>
      </c>
      <c r="U9" s="270" t="s">
        <v>386</v>
      </c>
      <c r="V9" s="270" t="s">
        <v>128</v>
      </c>
      <c r="W9" s="303">
        <v>400</v>
      </c>
    </row>
    <row r="10" spans="1:23" x14ac:dyDescent="0.35">
      <c r="A10" s="233" t="s">
        <v>70</v>
      </c>
      <c r="B10" s="233" t="s">
        <v>310</v>
      </c>
      <c r="C10" s="235">
        <v>20</v>
      </c>
      <c r="D10" s="235">
        <v>10</v>
      </c>
      <c r="E10" s="236">
        <f>C10+D10</f>
        <v>30</v>
      </c>
      <c r="F10" s="238">
        <v>18</v>
      </c>
      <c r="G10" s="238">
        <v>6</v>
      </c>
      <c r="H10" s="238">
        <v>24</v>
      </c>
      <c r="L10" s="270" t="s">
        <v>338</v>
      </c>
      <c r="M10" s="270" t="s">
        <v>339</v>
      </c>
      <c r="N10" s="270" t="s">
        <v>379</v>
      </c>
      <c r="O10" s="213">
        <v>450</v>
      </c>
      <c r="P10" s="273">
        <f t="shared" si="1"/>
        <v>360</v>
      </c>
      <c r="Q10" s="270">
        <v>1.25</v>
      </c>
      <c r="S10" s="233" t="s">
        <v>132</v>
      </c>
      <c r="T10" s="270" t="s">
        <v>391</v>
      </c>
      <c r="U10" s="270" t="s">
        <v>221</v>
      </c>
      <c r="V10" s="270" t="s">
        <v>393</v>
      </c>
      <c r="W10" s="303">
        <v>300</v>
      </c>
    </row>
    <row r="11" spans="1:23" x14ac:dyDescent="0.35">
      <c r="A11" s="233" t="s">
        <v>396</v>
      </c>
      <c r="B11" s="233" t="s">
        <v>310</v>
      </c>
      <c r="C11" s="235"/>
      <c r="D11" s="235"/>
      <c r="E11" s="236"/>
      <c r="F11" s="238"/>
      <c r="G11" s="238"/>
      <c r="H11" s="238"/>
      <c r="L11" s="270" t="s">
        <v>331</v>
      </c>
      <c r="M11" s="270" t="s">
        <v>332</v>
      </c>
      <c r="N11" s="270" t="s">
        <v>380</v>
      </c>
      <c r="O11" s="213">
        <v>15</v>
      </c>
      <c r="P11" s="273">
        <f t="shared" si="1"/>
        <v>12</v>
      </c>
      <c r="Q11" s="270">
        <v>1.25</v>
      </c>
      <c r="S11" s="233" t="s">
        <v>131</v>
      </c>
      <c r="T11" s="270" t="s">
        <v>391</v>
      </c>
      <c r="U11" s="270" t="s">
        <v>221</v>
      </c>
      <c r="V11" s="270" t="s">
        <v>393</v>
      </c>
      <c r="W11" s="303">
        <v>500</v>
      </c>
    </row>
    <row r="12" spans="1:23" x14ac:dyDescent="0.35">
      <c r="A12" s="258" t="s">
        <v>319</v>
      </c>
      <c r="B12" s="258"/>
      <c r="C12" s="259"/>
      <c r="D12" s="259"/>
      <c r="E12" s="260"/>
      <c r="F12" s="261"/>
      <c r="G12" s="261"/>
      <c r="H12" s="261"/>
      <c r="I12" s="258"/>
      <c r="J12" s="258"/>
      <c r="K12" s="258"/>
      <c r="L12" s="258"/>
      <c r="M12" s="258"/>
      <c r="N12" s="258"/>
      <c r="O12" s="284"/>
      <c r="P12" s="275"/>
      <c r="Q12" s="258"/>
    </row>
    <row r="13" spans="1:23" x14ac:dyDescent="0.35">
      <c r="A13" s="233" t="s">
        <v>25</v>
      </c>
      <c r="B13" s="233" t="s">
        <v>3</v>
      </c>
      <c r="C13" s="235">
        <v>5</v>
      </c>
      <c r="D13" s="235">
        <v>2</v>
      </c>
      <c r="E13" s="236">
        <f>C13+D13</f>
        <v>7</v>
      </c>
      <c r="F13" s="238">
        <v>3</v>
      </c>
      <c r="G13" s="238">
        <v>1.5</v>
      </c>
      <c r="H13" s="238">
        <v>4.5</v>
      </c>
      <c r="L13" s="270" t="s">
        <v>340</v>
      </c>
      <c r="M13" s="270" t="s">
        <v>339</v>
      </c>
      <c r="N13" s="270" t="s">
        <v>368</v>
      </c>
      <c r="O13" s="213">
        <v>25</v>
      </c>
      <c r="P13" s="273">
        <f t="shared" si="1"/>
        <v>20</v>
      </c>
      <c r="Q13" s="270">
        <v>1.25</v>
      </c>
    </row>
    <row r="14" spans="1:23" x14ac:dyDescent="0.35">
      <c r="A14" s="233" t="s">
        <v>32</v>
      </c>
      <c r="B14" s="233" t="s">
        <v>308</v>
      </c>
      <c r="C14" s="235">
        <v>20</v>
      </c>
      <c r="D14" s="235">
        <v>5</v>
      </c>
      <c r="E14" s="236">
        <f>C14+D14</f>
        <v>25</v>
      </c>
      <c r="F14" s="238">
        <v>6</v>
      </c>
      <c r="G14" s="238">
        <v>1.5</v>
      </c>
      <c r="H14" s="238">
        <v>7.5</v>
      </c>
      <c r="I14" s="238"/>
      <c r="J14" s="238"/>
      <c r="K14" s="238"/>
      <c r="L14" s="270" t="s">
        <v>336</v>
      </c>
      <c r="M14" s="270" t="s">
        <v>341</v>
      </c>
      <c r="N14" s="270" t="s">
        <v>401</v>
      </c>
      <c r="O14" s="213">
        <v>10</v>
      </c>
      <c r="P14" s="273">
        <f t="shared" si="1"/>
        <v>8</v>
      </c>
      <c r="Q14" s="270">
        <v>1.25</v>
      </c>
      <c r="S14" s="233" t="s">
        <v>398</v>
      </c>
    </row>
    <row r="15" spans="1:23" x14ac:dyDescent="0.35">
      <c r="A15" s="233" t="s">
        <v>397</v>
      </c>
      <c r="B15" s="233" t="s">
        <v>3</v>
      </c>
      <c r="C15" s="235"/>
      <c r="D15" s="235"/>
      <c r="E15" s="236"/>
      <c r="F15" s="238"/>
      <c r="G15" s="238"/>
      <c r="H15" s="238"/>
      <c r="I15" s="238"/>
      <c r="J15" s="238"/>
      <c r="K15" s="238"/>
      <c r="L15" s="270" t="s">
        <v>342</v>
      </c>
      <c r="M15" s="270" t="s">
        <v>343</v>
      </c>
      <c r="N15" s="270" t="s">
        <v>369</v>
      </c>
      <c r="O15" s="213">
        <v>10</v>
      </c>
      <c r="P15" s="273">
        <f t="shared" si="1"/>
        <v>8</v>
      </c>
      <c r="Q15" s="270">
        <v>1.25</v>
      </c>
    </row>
    <row r="16" spans="1:23" x14ac:dyDescent="0.35">
      <c r="A16" s="233" t="s">
        <v>69</v>
      </c>
      <c r="B16" s="233" t="s">
        <v>403</v>
      </c>
      <c r="C16" s="235">
        <v>7</v>
      </c>
      <c r="D16" s="235">
        <v>3</v>
      </c>
      <c r="E16" s="236">
        <f>C16+D16</f>
        <v>10</v>
      </c>
      <c r="F16" s="238">
        <v>20</v>
      </c>
      <c r="G16" s="238">
        <v>10</v>
      </c>
      <c r="H16" s="238">
        <v>30</v>
      </c>
      <c r="I16" s="238">
        <v>28</v>
      </c>
      <c r="J16" s="238">
        <v>12</v>
      </c>
      <c r="K16" s="238">
        <v>40</v>
      </c>
      <c r="L16" s="270" t="s">
        <v>345</v>
      </c>
      <c r="M16" s="270" t="s">
        <v>402</v>
      </c>
      <c r="N16" s="270" t="s">
        <v>333</v>
      </c>
      <c r="O16" s="213">
        <v>40</v>
      </c>
      <c r="P16" s="273">
        <f t="shared" si="1"/>
        <v>32</v>
      </c>
      <c r="Q16" s="270">
        <v>1.25</v>
      </c>
    </row>
    <row r="17" spans="1:18" x14ac:dyDescent="0.35">
      <c r="A17" s="233" t="s">
        <v>320</v>
      </c>
      <c r="B17" s="233" t="s">
        <v>3</v>
      </c>
      <c r="C17" s="235"/>
      <c r="D17" s="235"/>
      <c r="E17" s="236"/>
      <c r="F17" s="238"/>
      <c r="G17" s="238"/>
      <c r="H17" s="238"/>
      <c r="I17" s="238"/>
      <c r="J17" s="238"/>
      <c r="K17" s="238"/>
      <c r="L17" s="270" t="s">
        <v>340</v>
      </c>
      <c r="M17" s="270" t="s">
        <v>339</v>
      </c>
      <c r="N17" s="270" t="s">
        <v>368</v>
      </c>
      <c r="O17" s="213">
        <v>10</v>
      </c>
      <c r="P17" s="273">
        <f t="shared" si="1"/>
        <v>8</v>
      </c>
      <c r="Q17" s="270">
        <v>1.25</v>
      </c>
    </row>
    <row r="18" spans="1:18" x14ac:dyDescent="0.35">
      <c r="A18" s="233" t="s">
        <v>71</v>
      </c>
      <c r="B18" s="233" t="s">
        <v>3</v>
      </c>
      <c r="C18" s="235">
        <v>15</v>
      </c>
      <c r="D18" s="235">
        <v>5</v>
      </c>
      <c r="E18" s="236">
        <f>C18+D18</f>
        <v>20</v>
      </c>
      <c r="F18" s="238">
        <v>10</v>
      </c>
      <c r="G18" s="238">
        <v>4</v>
      </c>
      <c r="H18" s="238">
        <v>14</v>
      </c>
      <c r="L18" s="270" t="s">
        <v>340</v>
      </c>
      <c r="M18" s="270" t="s">
        <v>339</v>
      </c>
      <c r="N18" s="270" t="s">
        <v>368</v>
      </c>
      <c r="O18" s="213">
        <v>100</v>
      </c>
      <c r="P18" s="273">
        <f t="shared" si="1"/>
        <v>80</v>
      </c>
      <c r="Q18" s="270">
        <v>1.25</v>
      </c>
    </row>
    <row r="19" spans="1:18" x14ac:dyDescent="0.35">
      <c r="A19" s="233" t="s">
        <v>74</v>
      </c>
      <c r="B19" s="233" t="s">
        <v>3</v>
      </c>
      <c r="C19" s="235">
        <v>7.5</v>
      </c>
      <c r="D19" s="235">
        <v>2.5</v>
      </c>
      <c r="E19" s="236">
        <f>C19+D19</f>
        <v>10</v>
      </c>
      <c r="F19" s="238">
        <v>4</v>
      </c>
      <c r="G19" s="238">
        <v>2.5</v>
      </c>
      <c r="H19" s="238">
        <v>6.5</v>
      </c>
      <c r="L19" s="270" t="s">
        <v>340</v>
      </c>
      <c r="M19" s="270" t="s">
        <v>339</v>
      </c>
      <c r="N19" s="270" t="s">
        <v>368</v>
      </c>
      <c r="O19" s="213">
        <v>15</v>
      </c>
      <c r="P19" s="273">
        <f t="shared" si="1"/>
        <v>12</v>
      </c>
      <c r="Q19" s="270">
        <v>1.25</v>
      </c>
    </row>
    <row r="20" spans="1:18" x14ac:dyDescent="0.35">
      <c r="A20" s="262" t="s">
        <v>321</v>
      </c>
      <c r="B20" s="262"/>
      <c r="C20" s="263"/>
      <c r="D20" s="263"/>
      <c r="E20" s="264"/>
      <c r="F20" s="265"/>
      <c r="G20" s="265"/>
      <c r="H20" s="265"/>
      <c r="I20" s="262"/>
      <c r="J20" s="262"/>
      <c r="K20" s="262"/>
      <c r="L20" s="262"/>
      <c r="M20" s="262"/>
      <c r="N20" s="262"/>
      <c r="O20" s="285"/>
      <c r="P20" s="276"/>
      <c r="Q20" s="262"/>
    </row>
    <row r="21" spans="1:18" x14ac:dyDescent="0.35">
      <c r="A21" s="233" t="s">
        <v>407</v>
      </c>
      <c r="B21" s="233" t="s">
        <v>310</v>
      </c>
      <c r="C21" s="235"/>
      <c r="D21" s="235"/>
      <c r="E21" s="236"/>
      <c r="F21" s="238"/>
      <c r="G21" s="238"/>
      <c r="H21" s="238"/>
      <c r="I21" s="238"/>
      <c r="J21" s="238"/>
      <c r="K21" s="238"/>
      <c r="L21" s="270" t="s">
        <v>344</v>
      </c>
      <c r="M21" s="270"/>
      <c r="N21" s="270" t="s">
        <v>370</v>
      </c>
      <c r="O21" s="213">
        <v>20</v>
      </c>
      <c r="P21" s="273">
        <f t="shared" si="1"/>
        <v>16</v>
      </c>
      <c r="Q21" s="270">
        <v>1.25</v>
      </c>
    </row>
    <row r="22" spans="1:18" x14ac:dyDescent="0.35">
      <c r="A22" s="233" t="s">
        <v>408</v>
      </c>
      <c r="B22" s="233" t="s">
        <v>310</v>
      </c>
      <c r="C22" s="235"/>
      <c r="D22" s="235"/>
      <c r="E22" s="236"/>
      <c r="F22" s="238"/>
      <c r="G22" s="238"/>
      <c r="H22" s="238"/>
      <c r="I22" s="238"/>
      <c r="J22" s="238"/>
      <c r="K22" s="238"/>
      <c r="L22" s="270" t="s">
        <v>405</v>
      </c>
      <c r="M22" s="270"/>
      <c r="N22" s="270" t="s">
        <v>406</v>
      </c>
      <c r="O22" s="213">
        <v>20</v>
      </c>
      <c r="P22" s="273">
        <f t="shared" ref="P22" si="2">O22/Q22</f>
        <v>16</v>
      </c>
      <c r="Q22" s="270">
        <v>1.25</v>
      </c>
    </row>
    <row r="23" spans="1:18" x14ac:dyDescent="0.35">
      <c r="A23" s="233" t="s">
        <v>50</v>
      </c>
      <c r="B23" s="233" t="s">
        <v>310</v>
      </c>
      <c r="C23" s="235">
        <v>1.5</v>
      </c>
      <c r="D23" s="235">
        <v>1</v>
      </c>
      <c r="E23" s="236">
        <f>C23+D23</f>
        <v>2.5</v>
      </c>
      <c r="F23" s="238">
        <v>1.5</v>
      </c>
      <c r="G23" s="238">
        <v>0.75</v>
      </c>
      <c r="H23" s="238">
        <v>2.25</v>
      </c>
      <c r="I23" s="238">
        <v>2.5</v>
      </c>
      <c r="J23" s="238">
        <v>0.75</v>
      </c>
      <c r="K23" s="238">
        <v>3.25</v>
      </c>
      <c r="L23" s="266" t="s">
        <v>347</v>
      </c>
      <c r="M23" s="270" t="s">
        <v>348</v>
      </c>
      <c r="N23" s="191" t="s">
        <v>367</v>
      </c>
      <c r="O23" s="213">
        <v>65</v>
      </c>
      <c r="P23" s="273">
        <f t="shared" si="1"/>
        <v>52</v>
      </c>
      <c r="Q23" s="270">
        <v>1.25</v>
      </c>
    </row>
    <row r="24" spans="1:18" x14ac:dyDescent="0.35">
      <c r="A24" s="233" t="s">
        <v>356</v>
      </c>
      <c r="B24" s="233" t="s">
        <v>3</v>
      </c>
      <c r="C24" s="235">
        <v>10.5</v>
      </c>
      <c r="D24" s="235">
        <v>4</v>
      </c>
      <c r="E24" s="236">
        <f>C24+D24</f>
        <v>14.5</v>
      </c>
      <c r="F24" s="238">
        <v>8.75</v>
      </c>
      <c r="G24" s="238">
        <v>3.5</v>
      </c>
      <c r="H24" s="238">
        <v>12.25</v>
      </c>
      <c r="I24" s="238">
        <v>8.75</v>
      </c>
      <c r="J24" s="238">
        <v>3.5</v>
      </c>
      <c r="K24" s="238">
        <v>12.25</v>
      </c>
      <c r="L24" s="270" t="s">
        <v>351</v>
      </c>
      <c r="M24" s="270" t="s">
        <v>350</v>
      </c>
      <c r="N24" s="232" t="s">
        <v>371</v>
      </c>
      <c r="O24" s="213">
        <v>50</v>
      </c>
      <c r="P24" s="273">
        <f t="shared" si="1"/>
        <v>40</v>
      </c>
      <c r="Q24" s="270">
        <v>1.25</v>
      </c>
    </row>
    <row r="25" spans="1:18" x14ac:dyDescent="0.35">
      <c r="A25" s="233" t="s">
        <v>355</v>
      </c>
      <c r="B25" s="233" t="s">
        <v>3</v>
      </c>
      <c r="C25" s="235">
        <v>10.5</v>
      </c>
      <c r="D25" s="235">
        <v>4</v>
      </c>
      <c r="E25" s="236">
        <f>C25+D25</f>
        <v>14.5</v>
      </c>
      <c r="F25" s="238">
        <v>8.75</v>
      </c>
      <c r="G25" s="238">
        <v>3.5</v>
      </c>
      <c r="H25" s="238">
        <v>12.25</v>
      </c>
      <c r="I25" s="238">
        <v>8.75</v>
      </c>
      <c r="J25" s="238">
        <v>3.5</v>
      </c>
      <c r="K25" s="238">
        <v>12.25</v>
      </c>
      <c r="L25" s="270" t="s">
        <v>352</v>
      </c>
      <c r="M25" s="270" t="s">
        <v>353</v>
      </c>
      <c r="N25" s="232" t="s">
        <v>372</v>
      </c>
      <c r="O25" s="213">
        <v>60</v>
      </c>
      <c r="P25" s="273">
        <f t="shared" ref="P25" si="3">O25/Q25</f>
        <v>48</v>
      </c>
      <c r="Q25" s="270">
        <v>1.25</v>
      </c>
    </row>
    <row r="26" spans="1:18" x14ac:dyDescent="0.35">
      <c r="A26" s="233" t="s">
        <v>354</v>
      </c>
      <c r="B26" s="233" t="s">
        <v>3</v>
      </c>
      <c r="C26" s="235"/>
      <c r="D26" s="235"/>
      <c r="E26" s="236"/>
      <c r="F26" s="238"/>
      <c r="G26" s="238"/>
      <c r="H26" s="238"/>
      <c r="I26" s="238"/>
      <c r="J26" s="238"/>
      <c r="K26" s="238"/>
      <c r="L26" s="270" t="s">
        <v>357</v>
      </c>
      <c r="M26" s="270"/>
      <c r="N26" s="232" t="s">
        <v>373</v>
      </c>
      <c r="O26" s="213">
        <v>180</v>
      </c>
      <c r="P26" s="273">
        <f t="shared" ref="P26" si="4">O26/Q26</f>
        <v>144</v>
      </c>
      <c r="Q26" s="270">
        <v>1.25</v>
      </c>
      <c r="R26" s="304"/>
    </row>
    <row r="27" spans="1:18" x14ac:dyDescent="0.35">
      <c r="A27" s="233" t="s">
        <v>52</v>
      </c>
      <c r="B27" s="233" t="s">
        <v>53</v>
      </c>
      <c r="C27" s="235">
        <v>47</v>
      </c>
      <c r="D27" s="235">
        <v>20</v>
      </c>
      <c r="E27" s="236">
        <f>C27+D27</f>
        <v>67</v>
      </c>
      <c r="F27" s="238">
        <v>35</v>
      </c>
      <c r="G27" s="238">
        <v>14</v>
      </c>
      <c r="H27" s="238">
        <v>49</v>
      </c>
      <c r="I27" s="238"/>
      <c r="J27" s="238"/>
      <c r="K27" s="238"/>
      <c r="L27" s="270" t="s">
        <v>360</v>
      </c>
      <c r="M27" s="270" t="s">
        <v>361</v>
      </c>
      <c r="N27" s="232" t="s">
        <v>359</v>
      </c>
      <c r="O27" s="213">
        <v>55</v>
      </c>
      <c r="P27" s="273">
        <f t="shared" si="1"/>
        <v>44</v>
      </c>
      <c r="Q27" s="270">
        <v>1.25</v>
      </c>
    </row>
    <row r="28" spans="1:18" x14ac:dyDescent="0.35">
      <c r="A28" s="233" t="s">
        <v>61</v>
      </c>
      <c r="B28" s="233" t="s">
        <v>310</v>
      </c>
      <c r="C28" s="235"/>
      <c r="D28" s="235"/>
      <c r="E28" s="236"/>
      <c r="F28" s="238">
        <v>7</v>
      </c>
      <c r="G28" s="238">
        <v>2</v>
      </c>
      <c r="H28" s="238">
        <v>9</v>
      </c>
      <c r="I28" s="238">
        <v>11</v>
      </c>
      <c r="J28" s="238">
        <v>2</v>
      </c>
      <c r="K28" s="238">
        <v>13</v>
      </c>
      <c r="L28" s="270" t="s">
        <v>365</v>
      </c>
      <c r="M28" s="270" t="s">
        <v>366</v>
      </c>
      <c r="N28" s="232" t="s">
        <v>374</v>
      </c>
      <c r="O28" s="213">
        <v>300</v>
      </c>
      <c r="P28" s="273">
        <f t="shared" si="1"/>
        <v>240</v>
      </c>
      <c r="Q28" s="270">
        <v>1.25</v>
      </c>
    </row>
    <row r="29" spans="1:18" x14ac:dyDescent="0.35">
      <c r="A29" s="233" t="s">
        <v>0</v>
      </c>
      <c r="B29" s="233" t="s">
        <v>3</v>
      </c>
      <c r="C29" s="235">
        <v>60</v>
      </c>
      <c r="D29" s="235">
        <v>15</v>
      </c>
      <c r="E29" s="236">
        <f>C29+D29</f>
        <v>75</v>
      </c>
      <c r="F29" s="238">
        <v>60</v>
      </c>
      <c r="G29" s="238">
        <v>10</v>
      </c>
      <c r="H29" s="238">
        <v>70</v>
      </c>
      <c r="I29" s="238">
        <v>62</v>
      </c>
      <c r="J29" s="238">
        <v>13</v>
      </c>
      <c r="K29" s="238">
        <v>75</v>
      </c>
      <c r="L29" s="270" t="s">
        <v>362</v>
      </c>
      <c r="M29" s="270" t="s">
        <v>363</v>
      </c>
      <c r="N29" s="191" t="s">
        <v>364</v>
      </c>
      <c r="O29" s="213">
        <v>150</v>
      </c>
      <c r="P29" s="273">
        <f t="shared" si="1"/>
        <v>120</v>
      </c>
      <c r="Q29" s="270">
        <v>1.25</v>
      </c>
    </row>
    <row r="30" spans="1:18" x14ac:dyDescent="0.35">
      <c r="A30" s="233" t="s">
        <v>62</v>
      </c>
      <c r="B30" s="233" t="s">
        <v>3</v>
      </c>
      <c r="C30" s="235">
        <v>10.5</v>
      </c>
      <c r="D30" s="235">
        <v>4.2</v>
      </c>
      <c r="E30" s="236">
        <f>C30+D30</f>
        <v>14.7</v>
      </c>
      <c r="F30" s="238">
        <v>6</v>
      </c>
      <c r="G30" s="238">
        <v>2</v>
      </c>
      <c r="H30" s="238">
        <v>8</v>
      </c>
      <c r="I30" s="238"/>
      <c r="J30" s="238"/>
      <c r="K30" s="238"/>
      <c r="L30" s="270" t="s">
        <v>342</v>
      </c>
      <c r="M30" s="270" t="s">
        <v>349</v>
      </c>
      <c r="N30" s="191" t="s">
        <v>372</v>
      </c>
      <c r="O30" s="213">
        <v>80</v>
      </c>
      <c r="P30" s="273">
        <f t="shared" si="1"/>
        <v>64</v>
      </c>
      <c r="Q30" s="270">
        <v>1.25</v>
      </c>
    </row>
    <row r="31" spans="1:18" x14ac:dyDescent="0.35">
      <c r="A31" s="233" t="s">
        <v>72</v>
      </c>
      <c r="B31" s="233" t="s">
        <v>313</v>
      </c>
      <c r="C31" s="235"/>
      <c r="D31" s="235"/>
      <c r="E31" s="236"/>
      <c r="F31" s="238">
        <v>1.5</v>
      </c>
      <c r="G31" s="238">
        <v>0.65</v>
      </c>
      <c r="H31" s="238">
        <v>2.15</v>
      </c>
      <c r="I31" s="238">
        <v>2.25</v>
      </c>
      <c r="J31" s="238">
        <v>0.65</v>
      </c>
      <c r="K31" s="238">
        <v>2.9</v>
      </c>
      <c r="L31" s="270" t="s">
        <v>346</v>
      </c>
      <c r="M31" s="270"/>
      <c r="N31" s="191" t="s">
        <v>375</v>
      </c>
      <c r="O31" s="213">
        <v>55</v>
      </c>
      <c r="P31" s="273">
        <f t="shared" si="1"/>
        <v>44</v>
      </c>
      <c r="Q31" s="270">
        <v>1.25</v>
      </c>
    </row>
    <row r="32" spans="1:18" x14ac:dyDescent="0.35">
      <c r="A32" s="233" t="s">
        <v>73</v>
      </c>
      <c r="B32" s="233" t="s">
        <v>309</v>
      </c>
      <c r="C32" s="235">
        <v>3</v>
      </c>
      <c r="D32" s="235">
        <v>1.5</v>
      </c>
      <c r="E32" s="236">
        <f t="shared" si="0"/>
        <v>4.5</v>
      </c>
      <c r="F32" s="238">
        <v>3</v>
      </c>
      <c r="G32" s="238">
        <v>1.3</v>
      </c>
      <c r="H32" s="238">
        <v>4.3</v>
      </c>
      <c r="I32" s="238">
        <v>4.5</v>
      </c>
      <c r="J32" s="238">
        <v>1.3</v>
      </c>
      <c r="K32" s="238">
        <v>5.8</v>
      </c>
      <c r="L32" s="270" t="s">
        <v>344</v>
      </c>
      <c r="M32" s="270"/>
      <c r="N32" s="191" t="s">
        <v>370</v>
      </c>
      <c r="O32" s="213">
        <v>55</v>
      </c>
      <c r="P32" s="273">
        <f t="shared" si="1"/>
        <v>44</v>
      </c>
      <c r="Q32" s="270">
        <v>1.25</v>
      </c>
    </row>
    <row r="33" spans="1:20" x14ac:dyDescent="0.35">
      <c r="A33" s="253" t="s">
        <v>122</v>
      </c>
      <c r="B33" s="245"/>
      <c r="C33" s="246"/>
      <c r="D33" s="246"/>
      <c r="E33" s="247"/>
      <c r="F33" s="248"/>
      <c r="G33" s="248"/>
      <c r="H33" s="248"/>
      <c r="I33" s="245"/>
      <c r="J33" s="245"/>
      <c r="K33" s="245"/>
      <c r="L33" s="245"/>
      <c r="M33" s="245"/>
      <c r="N33" s="245"/>
      <c r="O33" s="286"/>
      <c r="P33" s="277"/>
      <c r="Q33" s="245"/>
    </row>
    <row r="34" spans="1:20" x14ac:dyDescent="0.35">
      <c r="A34" s="233" t="s">
        <v>29</v>
      </c>
      <c r="B34" s="233" t="s">
        <v>315</v>
      </c>
      <c r="C34" s="235"/>
      <c r="D34" s="235"/>
      <c r="E34" s="236"/>
      <c r="F34" s="238">
        <v>0.5</v>
      </c>
      <c r="G34" s="238">
        <v>0.15</v>
      </c>
      <c r="H34" s="238">
        <v>0.65</v>
      </c>
      <c r="L34" s="270" t="s">
        <v>315</v>
      </c>
      <c r="M34" s="270"/>
      <c r="N34" s="270" t="s">
        <v>315</v>
      </c>
      <c r="O34" s="287">
        <v>0.65</v>
      </c>
      <c r="P34" s="288">
        <v>0.52</v>
      </c>
      <c r="Q34" s="270">
        <v>1.25</v>
      </c>
    </row>
    <row r="35" spans="1:20" x14ac:dyDescent="0.35">
      <c r="A35" s="233" t="s">
        <v>26</v>
      </c>
      <c r="B35" s="233" t="s">
        <v>309</v>
      </c>
      <c r="C35" s="235"/>
      <c r="D35" s="235"/>
      <c r="E35" s="236"/>
      <c r="F35" s="238">
        <v>0.3</v>
      </c>
      <c r="G35" s="238">
        <v>0.2</v>
      </c>
      <c r="H35" s="238">
        <v>0.5</v>
      </c>
      <c r="L35" s="270" t="s">
        <v>309</v>
      </c>
      <c r="M35" s="270"/>
      <c r="N35" s="270" t="s">
        <v>309</v>
      </c>
      <c r="O35" s="287">
        <v>0.5</v>
      </c>
      <c r="P35" s="288">
        <v>0.4</v>
      </c>
      <c r="Q35" s="270">
        <v>1.25</v>
      </c>
    </row>
    <row r="36" spans="1:20" x14ac:dyDescent="0.35">
      <c r="A36" s="233" t="s">
        <v>27</v>
      </c>
      <c r="B36" s="233" t="s">
        <v>309</v>
      </c>
      <c r="C36" s="235"/>
      <c r="D36" s="235"/>
      <c r="E36" s="236"/>
      <c r="F36" s="238">
        <v>0.7</v>
      </c>
      <c r="G36" s="238">
        <v>0.45</v>
      </c>
      <c r="H36" s="238">
        <v>1.1499999999999999</v>
      </c>
      <c r="L36" s="270" t="s">
        <v>309</v>
      </c>
      <c r="M36" s="270"/>
      <c r="N36" s="270" t="s">
        <v>309</v>
      </c>
      <c r="O36" s="287">
        <v>1.1499999999999999</v>
      </c>
      <c r="P36" s="288">
        <v>0.91999999999999993</v>
      </c>
      <c r="Q36" s="270">
        <v>1.25</v>
      </c>
    </row>
    <row r="37" spans="1:20" x14ac:dyDescent="0.35">
      <c r="A37" s="233" t="s">
        <v>28</v>
      </c>
      <c r="B37" s="233" t="s">
        <v>309</v>
      </c>
      <c r="C37" s="235"/>
      <c r="D37" s="235"/>
      <c r="E37" s="236"/>
      <c r="F37" s="238">
        <v>0.25</v>
      </c>
      <c r="G37" s="238">
        <v>0.15</v>
      </c>
      <c r="H37" s="238">
        <v>0.4</v>
      </c>
      <c r="L37" s="270" t="s">
        <v>309</v>
      </c>
      <c r="M37" s="270"/>
      <c r="N37" s="270" t="s">
        <v>309</v>
      </c>
      <c r="O37" s="287">
        <v>0.4</v>
      </c>
      <c r="P37" s="288">
        <v>0.32</v>
      </c>
      <c r="Q37" s="270">
        <v>1.25</v>
      </c>
    </row>
    <row r="38" spans="1:20" x14ac:dyDescent="0.35">
      <c r="A38" s="233" t="s">
        <v>31</v>
      </c>
      <c r="B38" s="233" t="s">
        <v>315</v>
      </c>
      <c r="C38" s="235"/>
      <c r="D38" s="235"/>
      <c r="E38" s="236"/>
      <c r="F38" s="238">
        <v>0.2</v>
      </c>
      <c r="G38" s="238">
        <v>0.09</v>
      </c>
      <c r="H38" s="238">
        <v>0.29000000000000004</v>
      </c>
      <c r="I38" s="238"/>
      <c r="J38" s="238"/>
      <c r="K38" s="238"/>
      <c r="L38" s="270" t="s">
        <v>315</v>
      </c>
      <c r="M38" s="270"/>
      <c r="N38" s="270" t="s">
        <v>315</v>
      </c>
      <c r="O38" s="287">
        <v>0.29000000000000004</v>
      </c>
      <c r="P38" s="288">
        <v>0.23</v>
      </c>
      <c r="Q38" s="270">
        <v>1.25</v>
      </c>
    </row>
    <row r="39" spans="1:20" s="209" customFormat="1" x14ac:dyDescent="0.35">
      <c r="A39" s="306" t="s">
        <v>409</v>
      </c>
      <c r="B39" s="306" t="s">
        <v>309</v>
      </c>
      <c r="C39" s="209">
        <v>0.09</v>
      </c>
      <c r="D39" s="209">
        <v>0.05</v>
      </c>
      <c r="E39" s="209">
        <f t="shared" ref="E39:E42" si="5">C39+D39</f>
        <v>0.14000000000000001</v>
      </c>
      <c r="F39" s="209">
        <v>0.09</v>
      </c>
      <c r="G39" s="209">
        <v>0.05</v>
      </c>
      <c r="H39" s="209">
        <v>0.14000000000000001</v>
      </c>
      <c r="I39" s="209">
        <v>0.09</v>
      </c>
      <c r="J39" s="209">
        <v>0.05</v>
      </c>
      <c r="K39" s="209">
        <v>0.14000000000000001</v>
      </c>
      <c r="L39" s="209" t="s">
        <v>309</v>
      </c>
      <c r="N39" s="209" t="s">
        <v>309</v>
      </c>
      <c r="O39" s="209">
        <v>0.18</v>
      </c>
      <c r="P39" s="209">
        <v>0.14000000000000001</v>
      </c>
      <c r="Q39" s="209">
        <v>1.25</v>
      </c>
    </row>
    <row r="40" spans="1:20" x14ac:dyDescent="0.35">
      <c r="A40" s="233" t="s">
        <v>410</v>
      </c>
      <c r="B40" s="233" t="s">
        <v>309</v>
      </c>
      <c r="C40" s="235">
        <v>0.16</v>
      </c>
      <c r="D40" s="235">
        <v>7.0000000000000007E-2</v>
      </c>
      <c r="E40" s="236">
        <f t="shared" si="5"/>
        <v>0.23</v>
      </c>
      <c r="F40" s="238">
        <v>0.16</v>
      </c>
      <c r="G40" s="238">
        <v>7.0000000000000007E-2</v>
      </c>
      <c r="H40" s="238">
        <v>0.23</v>
      </c>
      <c r="I40" s="238">
        <v>0.16</v>
      </c>
      <c r="J40" s="238">
        <v>7.0000000000000007E-2</v>
      </c>
      <c r="K40" s="238">
        <v>0.23</v>
      </c>
      <c r="L40" s="270" t="s">
        <v>309</v>
      </c>
      <c r="M40" s="270"/>
      <c r="N40" s="270" t="s">
        <v>309</v>
      </c>
      <c r="O40" s="287">
        <v>0.27</v>
      </c>
      <c r="P40" s="288">
        <v>0.22</v>
      </c>
      <c r="Q40" s="270">
        <v>1.25</v>
      </c>
      <c r="S40" s="238"/>
      <c r="T40" s="238"/>
    </row>
    <row r="41" spans="1:20" x14ac:dyDescent="0.35">
      <c r="A41" s="233" t="s">
        <v>411</v>
      </c>
      <c r="B41" s="233" t="s">
        <v>309</v>
      </c>
      <c r="C41" s="235">
        <v>0.24</v>
      </c>
      <c r="D41" s="235">
        <v>0.11</v>
      </c>
      <c r="E41" s="236">
        <f>C41+D41</f>
        <v>0.35</v>
      </c>
      <c r="F41" s="238">
        <v>0.24</v>
      </c>
      <c r="G41" s="238">
        <v>0.11</v>
      </c>
      <c r="H41" s="238">
        <v>0.35</v>
      </c>
      <c r="I41" s="238">
        <v>0.24</v>
      </c>
      <c r="J41" s="238">
        <v>0.11</v>
      </c>
      <c r="K41" s="238">
        <v>0.35</v>
      </c>
      <c r="L41" s="270" t="s">
        <v>309</v>
      </c>
      <c r="M41" s="270"/>
      <c r="N41" s="270" t="s">
        <v>309</v>
      </c>
      <c r="O41" s="287">
        <v>0.39</v>
      </c>
      <c r="P41" s="288">
        <v>0.31</v>
      </c>
      <c r="Q41" s="270">
        <v>1.25</v>
      </c>
      <c r="R41" s="238"/>
    </row>
    <row r="42" spans="1:20" x14ac:dyDescent="0.35">
      <c r="A42" s="233" t="s">
        <v>412</v>
      </c>
      <c r="B42" s="233" t="s">
        <v>309</v>
      </c>
      <c r="C42" s="235">
        <v>0.34</v>
      </c>
      <c r="D42" s="235">
        <v>0.15</v>
      </c>
      <c r="E42" s="236">
        <f t="shared" si="5"/>
        <v>0.49</v>
      </c>
      <c r="F42" s="238">
        <v>0.34</v>
      </c>
      <c r="G42" s="238">
        <v>0.15</v>
      </c>
      <c r="H42" s="238">
        <v>0.49</v>
      </c>
      <c r="I42" s="238">
        <v>0.34</v>
      </c>
      <c r="J42" s="238">
        <v>0.15</v>
      </c>
      <c r="K42" s="238">
        <v>0.49</v>
      </c>
      <c r="L42" s="270" t="s">
        <v>309</v>
      </c>
      <c r="M42" s="270"/>
      <c r="N42" s="270" t="s">
        <v>309</v>
      </c>
      <c r="O42" s="287">
        <v>0.55000000000000004</v>
      </c>
      <c r="P42" s="288">
        <v>0.44</v>
      </c>
      <c r="Q42" s="270">
        <v>1.25</v>
      </c>
      <c r="R42" s="238"/>
    </row>
    <row r="43" spans="1:20" x14ac:dyDescent="0.35">
      <c r="A43" s="233" t="s">
        <v>49</v>
      </c>
      <c r="B43" s="233" t="s">
        <v>315</v>
      </c>
      <c r="C43" s="235"/>
      <c r="D43" s="235"/>
      <c r="E43" s="236"/>
      <c r="F43" s="238">
        <v>0.33</v>
      </c>
      <c r="G43" s="238">
        <v>0.16</v>
      </c>
      <c r="H43" s="238">
        <v>0.49</v>
      </c>
      <c r="I43" s="238"/>
      <c r="J43" s="238"/>
      <c r="K43" s="238"/>
      <c r="L43" s="270" t="s">
        <v>315</v>
      </c>
      <c r="M43" s="270"/>
      <c r="N43" s="270" t="s">
        <v>315</v>
      </c>
      <c r="O43" s="287">
        <v>0.49</v>
      </c>
      <c r="P43" s="288">
        <v>0.39</v>
      </c>
      <c r="Q43" s="270">
        <v>1.25</v>
      </c>
    </row>
    <row r="44" spans="1:20" x14ac:dyDescent="0.35">
      <c r="A44" s="233" t="s">
        <v>57</v>
      </c>
      <c r="B44" s="233" t="s">
        <v>311</v>
      </c>
      <c r="C44" s="235">
        <v>1</v>
      </c>
      <c r="D44" s="235">
        <v>0.23</v>
      </c>
      <c r="E44" s="236">
        <f>C44+D44</f>
        <v>1.23</v>
      </c>
      <c r="F44" s="238">
        <v>1</v>
      </c>
      <c r="G44" s="238">
        <v>0.23</v>
      </c>
      <c r="H44" s="238">
        <v>1.23</v>
      </c>
      <c r="I44" s="238"/>
      <c r="J44" s="238"/>
      <c r="K44" s="238"/>
      <c r="L44" s="270" t="s">
        <v>311</v>
      </c>
      <c r="M44" s="270"/>
      <c r="N44" s="270" t="s">
        <v>311</v>
      </c>
      <c r="O44" s="287">
        <v>1.23</v>
      </c>
      <c r="P44" s="288">
        <v>0.98</v>
      </c>
      <c r="Q44" s="270">
        <v>1.25</v>
      </c>
    </row>
    <row r="45" spans="1:20" x14ac:dyDescent="0.35">
      <c r="A45" s="233" t="s">
        <v>57</v>
      </c>
      <c r="B45" s="233" t="s">
        <v>312</v>
      </c>
      <c r="C45" s="235">
        <v>1.3</v>
      </c>
      <c r="D45" s="235">
        <v>0.31</v>
      </c>
      <c r="E45" s="236">
        <f>C45+D45</f>
        <v>1.61</v>
      </c>
      <c r="F45" s="238">
        <v>1.3</v>
      </c>
      <c r="G45" s="238">
        <v>0.31</v>
      </c>
      <c r="H45" s="238">
        <v>1.61</v>
      </c>
      <c r="I45" s="238"/>
      <c r="J45" s="238"/>
      <c r="K45" s="238"/>
      <c r="L45" s="270" t="s">
        <v>312</v>
      </c>
      <c r="M45" s="270"/>
      <c r="N45" s="270" t="s">
        <v>312</v>
      </c>
      <c r="O45" s="287">
        <v>1.61</v>
      </c>
      <c r="P45" s="288">
        <v>1.29</v>
      </c>
      <c r="Q45" s="270">
        <v>1.25</v>
      </c>
    </row>
    <row r="46" spans="1:20" x14ac:dyDescent="0.35">
      <c r="A46" s="233" t="s">
        <v>58</v>
      </c>
      <c r="B46" s="233" t="s">
        <v>313</v>
      </c>
      <c r="C46" s="235">
        <v>1.5</v>
      </c>
      <c r="D46" s="235">
        <v>0.35</v>
      </c>
      <c r="E46" s="236">
        <f>C46+D46</f>
        <v>1.85</v>
      </c>
      <c r="F46" s="238">
        <v>1.5</v>
      </c>
      <c r="G46" s="238">
        <v>0.35</v>
      </c>
      <c r="H46" s="238">
        <v>1.85</v>
      </c>
      <c r="I46" s="238"/>
      <c r="J46" s="238"/>
      <c r="K46" s="238"/>
      <c r="L46" s="270" t="s">
        <v>313</v>
      </c>
      <c r="M46" s="270"/>
      <c r="N46" s="270" t="s">
        <v>313</v>
      </c>
      <c r="O46" s="287">
        <v>1.85</v>
      </c>
      <c r="P46" s="288">
        <v>1.48</v>
      </c>
      <c r="Q46" s="270">
        <v>1.25</v>
      </c>
    </row>
    <row r="47" spans="1:20" x14ac:dyDescent="0.35">
      <c r="A47" s="233" t="s">
        <v>60</v>
      </c>
      <c r="B47" s="233" t="s">
        <v>309</v>
      </c>
      <c r="C47" s="235"/>
      <c r="D47" s="235"/>
      <c r="E47" s="236"/>
      <c r="F47" s="238">
        <v>0.35</v>
      </c>
      <c r="G47" s="238">
        <v>0.2</v>
      </c>
      <c r="H47" s="238">
        <v>0.55000000000000004</v>
      </c>
      <c r="I47" s="238">
        <v>0.35</v>
      </c>
      <c r="J47" s="238">
        <v>0.2</v>
      </c>
      <c r="K47" s="238">
        <v>0.55000000000000004</v>
      </c>
      <c r="L47" s="270" t="s">
        <v>309</v>
      </c>
      <c r="M47" s="270"/>
      <c r="N47" s="270" t="s">
        <v>309</v>
      </c>
      <c r="O47" s="287">
        <v>0.55000000000000004</v>
      </c>
      <c r="P47" s="288">
        <v>0.44000000000000006</v>
      </c>
      <c r="Q47" s="270">
        <v>1.25</v>
      </c>
    </row>
    <row r="48" spans="1:20" x14ac:dyDescent="0.35">
      <c r="A48" s="233" t="s">
        <v>413</v>
      </c>
      <c r="B48" s="233" t="s">
        <v>309</v>
      </c>
      <c r="C48" s="235">
        <v>0.05</v>
      </c>
      <c r="D48" s="235">
        <v>0.03</v>
      </c>
      <c r="E48" s="236">
        <f>C48+D48</f>
        <v>0.08</v>
      </c>
      <c r="F48" s="238">
        <v>0.05</v>
      </c>
      <c r="G48" s="238">
        <v>0.03</v>
      </c>
      <c r="H48" s="238">
        <v>0.08</v>
      </c>
      <c r="L48" s="270" t="s">
        <v>309</v>
      </c>
      <c r="M48" s="270"/>
      <c r="N48" s="270" t="s">
        <v>309</v>
      </c>
      <c r="O48" s="287">
        <v>0.1</v>
      </c>
      <c r="P48" s="288">
        <v>0.08</v>
      </c>
      <c r="Q48" s="270">
        <v>1.25</v>
      </c>
    </row>
    <row r="49" spans="1:18" x14ac:dyDescent="0.35">
      <c r="A49" s="233" t="s">
        <v>414</v>
      </c>
      <c r="B49" s="233" t="s">
        <v>309</v>
      </c>
      <c r="C49" s="235">
        <v>0.17</v>
      </c>
      <c r="D49" s="235">
        <v>0.09</v>
      </c>
      <c r="E49" s="236">
        <f>C49+D49</f>
        <v>0.26</v>
      </c>
      <c r="F49" s="238">
        <v>0.17</v>
      </c>
      <c r="G49" s="238">
        <v>0.09</v>
      </c>
      <c r="H49" s="238">
        <v>0.26</v>
      </c>
      <c r="L49" s="270" t="s">
        <v>309</v>
      </c>
      <c r="M49" s="270"/>
      <c r="N49" s="270" t="s">
        <v>309</v>
      </c>
      <c r="O49" s="287">
        <v>0.3</v>
      </c>
      <c r="P49" s="288">
        <v>0.24</v>
      </c>
      <c r="Q49" s="270">
        <v>1.25</v>
      </c>
      <c r="R49" s="238"/>
    </row>
    <row r="50" spans="1:18" ht="15" thickBot="1" x14ac:dyDescent="0.4"/>
    <row r="51" spans="1:18" ht="72" customHeight="1" thickBot="1" x14ac:dyDescent="0.4">
      <c r="A51" s="81" t="s">
        <v>376</v>
      </c>
      <c r="B51" s="291"/>
      <c r="C51" s="292"/>
      <c r="D51" s="292"/>
      <c r="E51" s="292"/>
      <c r="F51" s="291"/>
      <c r="G51" s="291"/>
      <c r="H51" s="291"/>
      <c r="I51" s="291"/>
      <c r="J51" s="291"/>
      <c r="K51" s="291"/>
      <c r="L51" s="88" t="s">
        <v>148</v>
      </c>
    </row>
    <row r="52" spans="1:18" x14ac:dyDescent="0.35">
      <c r="A52" s="289" t="s">
        <v>382</v>
      </c>
      <c r="B52" s="293"/>
      <c r="C52" s="127"/>
      <c r="D52" s="294"/>
      <c r="E52" s="294"/>
      <c r="F52" s="293"/>
      <c r="G52" s="293"/>
      <c r="H52" s="293"/>
      <c r="I52" s="293"/>
      <c r="J52" s="293"/>
      <c r="K52" s="293"/>
      <c r="L52" s="300" t="s">
        <v>420</v>
      </c>
    </row>
    <row r="53" spans="1:18" x14ac:dyDescent="0.35">
      <c r="A53" s="290" t="s">
        <v>9</v>
      </c>
      <c r="B53" s="293"/>
      <c r="C53" s="295"/>
      <c r="D53" s="294"/>
      <c r="E53" s="294"/>
      <c r="F53" s="293"/>
      <c r="G53" s="293"/>
      <c r="H53" s="293"/>
      <c r="I53" s="293"/>
      <c r="J53" s="293"/>
      <c r="K53" s="293"/>
      <c r="L53" s="301" t="s">
        <v>415</v>
      </c>
    </row>
    <row r="54" spans="1:18" x14ac:dyDescent="0.35">
      <c r="A54" s="290" t="s">
        <v>6</v>
      </c>
      <c r="B54" s="293"/>
      <c r="C54" s="295"/>
      <c r="D54" s="294"/>
      <c r="E54" s="294"/>
      <c r="F54" s="293"/>
      <c r="G54" s="293"/>
      <c r="H54" s="293"/>
      <c r="I54" s="293"/>
      <c r="J54" s="293"/>
      <c r="K54" s="293"/>
      <c r="L54" s="301" t="s">
        <v>416</v>
      </c>
    </row>
    <row r="55" spans="1:18" x14ac:dyDescent="0.35">
      <c r="A55" s="290" t="s">
        <v>7</v>
      </c>
      <c r="B55" s="293"/>
      <c r="C55" s="295"/>
      <c r="D55" s="294"/>
      <c r="E55" s="294"/>
      <c r="F55" s="293"/>
      <c r="G55" s="293"/>
      <c r="H55" s="293"/>
      <c r="I55" s="293"/>
      <c r="J55" s="293"/>
      <c r="K55" s="293"/>
      <c r="L55" s="301" t="s">
        <v>417</v>
      </c>
    </row>
    <row r="56" spans="1:18" x14ac:dyDescent="0.35">
      <c r="A56" s="290" t="s">
        <v>8</v>
      </c>
      <c r="B56" s="293"/>
      <c r="C56" s="295"/>
      <c r="D56" s="294"/>
      <c r="E56" s="294"/>
      <c r="F56" s="293"/>
      <c r="G56" s="293"/>
      <c r="H56" s="293"/>
      <c r="I56" s="293"/>
      <c r="J56" s="293"/>
      <c r="K56" s="293"/>
      <c r="L56" s="301" t="s">
        <v>418</v>
      </c>
    </row>
    <row r="57" spans="1:18" ht="15" thickBot="1" x14ac:dyDescent="0.4">
      <c r="A57" s="296" t="s">
        <v>383</v>
      </c>
      <c r="B57" s="297"/>
      <c r="C57" s="298"/>
      <c r="D57" s="299"/>
      <c r="E57" s="299"/>
      <c r="F57" s="297"/>
      <c r="G57" s="297"/>
      <c r="H57" s="297"/>
      <c r="I57" s="297"/>
      <c r="J57" s="297"/>
      <c r="K57" s="297"/>
      <c r="L57" s="302" t="s">
        <v>419</v>
      </c>
    </row>
  </sheetData>
  <mergeCells count="3">
    <mergeCell ref="C1:E1"/>
    <mergeCell ref="F1:H1"/>
    <mergeCell ref="I1:K1"/>
  </mergeCells>
  <pageMargins left="0.7" right="0.7" top="0.75" bottom="0.75" header="0.3" footer="0.3"/>
  <pageSetup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2EF0B-92B5-4E08-A3D6-EE2E215983A5}">
  <sheetPr codeName="Sheet6"/>
  <dimension ref="A2:L45"/>
  <sheetViews>
    <sheetView workbookViewId="0">
      <selection activeCell="J29" sqref="J29"/>
    </sheetView>
  </sheetViews>
  <sheetFormatPr defaultRowHeight="14.5" x14ac:dyDescent="0.35"/>
  <cols>
    <col min="1" max="1" width="15.1796875" customWidth="1"/>
    <col min="2" max="2" width="18.1796875" customWidth="1"/>
    <col min="4" max="4" width="12.26953125" customWidth="1"/>
    <col min="5" max="5" width="13" customWidth="1"/>
    <col min="11" max="11" width="19.453125" customWidth="1"/>
    <col min="12" max="12" width="16.81640625" customWidth="1"/>
  </cols>
  <sheetData>
    <row r="2" spans="1:12" x14ac:dyDescent="0.35">
      <c r="B2" s="566" t="s">
        <v>271</v>
      </c>
      <c r="C2" s="566"/>
      <c r="D2" s="566"/>
      <c r="E2" s="566"/>
      <c r="F2" s="566"/>
      <c r="G2" s="566"/>
      <c r="H2" s="566"/>
      <c r="I2" s="566"/>
    </row>
    <row r="3" spans="1:12" ht="15" thickBot="1" x14ac:dyDescent="0.4">
      <c r="B3" s="566"/>
      <c r="C3" s="566"/>
      <c r="D3" s="566"/>
      <c r="E3" s="566"/>
      <c r="F3" s="566"/>
      <c r="G3" s="566"/>
      <c r="H3" s="566"/>
      <c r="I3" s="566"/>
    </row>
    <row r="4" spans="1:12" x14ac:dyDescent="0.35">
      <c r="D4" s="214" t="s">
        <v>276</v>
      </c>
      <c r="E4" s="214"/>
      <c r="K4" s="227" t="s">
        <v>147</v>
      </c>
      <c r="L4" s="228" t="s">
        <v>148</v>
      </c>
    </row>
    <row r="5" spans="1:12" x14ac:dyDescent="0.35">
      <c r="A5" t="s">
        <v>274</v>
      </c>
      <c r="B5" t="s">
        <v>272</v>
      </c>
      <c r="D5" s="214" t="s">
        <v>213</v>
      </c>
      <c r="E5" s="214">
        <v>601</v>
      </c>
      <c r="K5" s="224" t="s">
        <v>5</v>
      </c>
      <c r="L5" s="8" t="s">
        <v>10</v>
      </c>
    </row>
    <row r="6" spans="1:12" x14ac:dyDescent="0.35">
      <c r="B6" t="s">
        <v>273</v>
      </c>
      <c r="C6" s="229">
        <v>0.08</v>
      </c>
      <c r="D6" s="214" t="s">
        <v>278</v>
      </c>
      <c r="E6" s="214">
        <v>48</v>
      </c>
      <c r="F6" s="229"/>
      <c r="K6" s="224" t="s">
        <v>9</v>
      </c>
      <c r="L6" s="8" t="s">
        <v>12</v>
      </c>
    </row>
    <row r="7" spans="1:12" x14ac:dyDescent="0.35">
      <c r="B7" t="s">
        <v>275</v>
      </c>
      <c r="D7" s="231" t="s">
        <v>279</v>
      </c>
      <c r="E7" s="231">
        <v>649</v>
      </c>
      <c r="K7" s="224" t="s">
        <v>6</v>
      </c>
      <c r="L7" s="8" t="s">
        <v>11</v>
      </c>
    </row>
    <row r="8" spans="1:12" x14ac:dyDescent="0.35">
      <c r="K8" s="224" t="s">
        <v>7</v>
      </c>
      <c r="L8" s="8" t="s">
        <v>13</v>
      </c>
    </row>
    <row r="9" spans="1:12" x14ac:dyDescent="0.35">
      <c r="D9" s="230" t="s">
        <v>277</v>
      </c>
      <c r="E9" s="230">
        <v>659</v>
      </c>
      <c r="K9" s="224" t="s">
        <v>8</v>
      </c>
      <c r="L9" s="8" t="s">
        <v>14</v>
      </c>
    </row>
    <row r="10" spans="1:12" x14ac:dyDescent="0.35">
      <c r="K10" s="224" t="s">
        <v>15</v>
      </c>
      <c r="L10" s="8" t="s">
        <v>18</v>
      </c>
    </row>
    <row r="11" spans="1:12" x14ac:dyDescent="0.35">
      <c r="A11" t="s">
        <v>280</v>
      </c>
      <c r="B11" t="s">
        <v>281</v>
      </c>
      <c r="D11" s="214" t="s">
        <v>276</v>
      </c>
      <c r="E11" s="214"/>
      <c r="K11" s="224" t="s">
        <v>16</v>
      </c>
      <c r="L11" s="8" t="s">
        <v>19</v>
      </c>
    </row>
    <row r="12" spans="1:12" ht="15" thickBot="1" x14ac:dyDescent="0.4">
      <c r="B12" t="s">
        <v>282</v>
      </c>
      <c r="C12" s="229">
        <v>0.08</v>
      </c>
      <c r="D12" s="214" t="s">
        <v>213</v>
      </c>
      <c r="E12" s="214">
        <v>1156</v>
      </c>
      <c r="K12" s="225" t="s">
        <v>17</v>
      </c>
      <c r="L12" s="226" t="s">
        <v>20</v>
      </c>
    </row>
    <row r="13" spans="1:12" x14ac:dyDescent="0.35">
      <c r="B13" t="s">
        <v>283</v>
      </c>
      <c r="D13" s="214" t="s">
        <v>278</v>
      </c>
      <c r="E13" s="214">
        <v>85</v>
      </c>
    </row>
    <row r="14" spans="1:12" x14ac:dyDescent="0.35">
      <c r="D14" s="231" t="s">
        <v>279</v>
      </c>
      <c r="E14" s="231">
        <v>1241</v>
      </c>
    </row>
    <row r="16" spans="1:12" x14ac:dyDescent="0.35">
      <c r="D16" s="230" t="s">
        <v>277</v>
      </c>
      <c r="E16" s="230">
        <v>1253</v>
      </c>
    </row>
    <row r="18" spans="1:6" x14ac:dyDescent="0.35">
      <c r="A18" t="s">
        <v>284</v>
      </c>
      <c r="B18" t="s">
        <v>285</v>
      </c>
      <c r="D18" s="214" t="s">
        <v>276</v>
      </c>
      <c r="E18" s="214"/>
    </row>
    <row r="19" spans="1:6" x14ac:dyDescent="0.35">
      <c r="B19" t="s">
        <v>286</v>
      </c>
      <c r="D19" s="214" t="s">
        <v>213</v>
      </c>
      <c r="E19" s="214">
        <v>344</v>
      </c>
    </row>
    <row r="20" spans="1:6" x14ac:dyDescent="0.35">
      <c r="B20" t="s">
        <v>287</v>
      </c>
      <c r="C20" s="229">
        <v>0.11</v>
      </c>
      <c r="D20" s="214" t="s">
        <v>278</v>
      </c>
      <c r="E20" s="214">
        <v>34</v>
      </c>
      <c r="F20" t="s">
        <v>289</v>
      </c>
    </row>
    <row r="21" spans="1:6" x14ac:dyDescent="0.35">
      <c r="B21" t="s">
        <v>288</v>
      </c>
      <c r="D21" s="231" t="s">
        <v>279</v>
      </c>
      <c r="E21" s="231">
        <v>378</v>
      </c>
      <c r="F21" t="s">
        <v>290</v>
      </c>
    </row>
    <row r="23" spans="1:6" x14ac:dyDescent="0.35">
      <c r="D23" s="230" t="s">
        <v>277</v>
      </c>
      <c r="E23" s="230">
        <v>233</v>
      </c>
      <c r="F23" t="s">
        <v>291</v>
      </c>
    </row>
    <row r="26" spans="1:6" x14ac:dyDescent="0.35">
      <c r="A26" t="s">
        <v>292</v>
      </c>
      <c r="B26" t="s">
        <v>281</v>
      </c>
      <c r="D26" s="214" t="s">
        <v>276</v>
      </c>
      <c r="E26" s="214"/>
    </row>
    <row r="27" spans="1:6" x14ac:dyDescent="0.35">
      <c r="B27" t="s">
        <v>293</v>
      </c>
      <c r="D27" s="214" t="s">
        <v>213</v>
      </c>
      <c r="E27" s="214">
        <v>1620</v>
      </c>
    </row>
    <row r="28" spans="1:6" x14ac:dyDescent="0.35">
      <c r="B28" t="s">
        <v>294</v>
      </c>
      <c r="C28" s="229">
        <v>0.11</v>
      </c>
      <c r="D28" s="214" t="s">
        <v>278</v>
      </c>
      <c r="E28" s="214">
        <v>160</v>
      </c>
    </row>
    <row r="29" spans="1:6" x14ac:dyDescent="0.35">
      <c r="B29" t="s">
        <v>295</v>
      </c>
      <c r="D29" s="231" t="s">
        <v>279</v>
      </c>
      <c r="E29" s="231">
        <v>1781</v>
      </c>
    </row>
    <row r="31" spans="1:6" x14ac:dyDescent="0.35">
      <c r="D31" s="230" t="s">
        <v>277</v>
      </c>
      <c r="E31" s="230">
        <v>1774</v>
      </c>
    </row>
    <row r="33" spans="1:6" x14ac:dyDescent="0.35">
      <c r="A33" t="s">
        <v>296</v>
      </c>
      <c r="B33" t="s">
        <v>297</v>
      </c>
      <c r="D33" s="214" t="s">
        <v>276</v>
      </c>
      <c r="E33" s="214"/>
    </row>
    <row r="34" spans="1:6" x14ac:dyDescent="0.35">
      <c r="B34" t="s">
        <v>298</v>
      </c>
      <c r="D34" s="214" t="s">
        <v>213</v>
      </c>
      <c r="E34" s="214">
        <v>977</v>
      </c>
    </row>
    <row r="35" spans="1:6" x14ac:dyDescent="0.35">
      <c r="B35" t="s">
        <v>273</v>
      </c>
      <c r="C35" s="229">
        <v>0.11</v>
      </c>
      <c r="D35" s="214" t="s">
        <v>278</v>
      </c>
      <c r="E35" s="214">
        <v>97</v>
      </c>
    </row>
    <row r="36" spans="1:6" x14ac:dyDescent="0.35">
      <c r="B36" t="s">
        <v>299</v>
      </c>
      <c r="D36" s="231" t="s">
        <v>279</v>
      </c>
      <c r="E36" s="231">
        <v>1073</v>
      </c>
    </row>
    <row r="38" spans="1:6" x14ac:dyDescent="0.35">
      <c r="D38" s="230" t="s">
        <v>277</v>
      </c>
      <c r="E38" s="230">
        <v>1149</v>
      </c>
      <c r="F38" t="s">
        <v>300</v>
      </c>
    </row>
    <row r="40" spans="1:6" x14ac:dyDescent="0.35">
      <c r="A40" t="s">
        <v>301</v>
      </c>
      <c r="B40" t="s">
        <v>302</v>
      </c>
      <c r="D40" s="214" t="s">
        <v>276</v>
      </c>
      <c r="E40" s="214"/>
    </row>
    <row r="41" spans="1:6" x14ac:dyDescent="0.35">
      <c r="B41" t="s">
        <v>273</v>
      </c>
      <c r="C41" s="229">
        <v>0.08</v>
      </c>
      <c r="D41" s="214" t="s">
        <v>213</v>
      </c>
      <c r="E41" s="214">
        <v>432</v>
      </c>
    </row>
    <row r="42" spans="1:6" x14ac:dyDescent="0.35">
      <c r="B42" t="s">
        <v>303</v>
      </c>
      <c r="D42" s="214" t="s">
        <v>278</v>
      </c>
      <c r="E42" s="214">
        <v>32</v>
      </c>
    </row>
    <row r="43" spans="1:6" x14ac:dyDescent="0.35">
      <c r="D43" s="231" t="s">
        <v>279</v>
      </c>
      <c r="E43" s="231">
        <v>464</v>
      </c>
    </row>
    <row r="45" spans="1:6" x14ac:dyDescent="0.35">
      <c r="D45" s="230" t="s">
        <v>277</v>
      </c>
      <c r="E45" s="230">
        <v>478</v>
      </c>
      <c r="F45" t="s">
        <v>304</v>
      </c>
    </row>
  </sheetData>
  <mergeCells count="1">
    <mergeCell ref="B2:I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3F2BC-36D2-413B-A626-34025C5FCF63}">
  <sheetPr codeName="Sheet7"/>
  <dimension ref="A1:M55"/>
  <sheetViews>
    <sheetView zoomScaleNormal="100" workbookViewId="0">
      <pane ySplit="1" topLeftCell="A4" activePane="bottomLeft" state="frozen"/>
      <selection pane="bottomLeft" activeCell="B27" sqref="B27"/>
    </sheetView>
  </sheetViews>
  <sheetFormatPr defaultColWidth="9.1796875" defaultRowHeight="14.5" x14ac:dyDescent="0.35"/>
  <cols>
    <col min="1" max="1" width="51" style="233" bestFit="1" customWidth="1"/>
    <col min="2" max="2" width="17.81640625" style="233" customWidth="1"/>
    <col min="3" max="3" width="22" style="233" customWidth="1"/>
    <col min="4" max="4" width="21.453125" style="233" customWidth="1"/>
    <col min="5" max="5" width="13.453125" style="270" customWidth="1"/>
    <col min="6" max="6" width="14.81640625" style="233" customWidth="1"/>
    <col min="7" max="7" width="8.81640625" style="233" hidden="1" customWidth="1"/>
    <col min="8" max="8" width="3.26953125" style="233" customWidth="1"/>
    <col min="9" max="9" width="31.1796875" style="233" bestFit="1" customWidth="1"/>
    <col min="10" max="10" width="12" style="233" customWidth="1"/>
    <col min="11" max="11" width="11" style="233" customWidth="1"/>
    <col min="12" max="12" width="9.453125" style="233" bestFit="1" customWidth="1"/>
    <col min="13" max="16384" width="9.1796875" style="233"/>
  </cols>
  <sheetData>
    <row r="1" spans="1:13" s="266" customFormat="1" ht="76.75" customHeight="1" x14ac:dyDescent="0.35">
      <c r="A1" s="267" t="s">
        <v>305</v>
      </c>
      <c r="B1" s="267" t="s">
        <v>322</v>
      </c>
      <c r="C1" s="267" t="s">
        <v>2</v>
      </c>
      <c r="D1" s="268" t="s">
        <v>260</v>
      </c>
      <c r="E1" s="268" t="s">
        <v>399</v>
      </c>
      <c r="F1" s="268" t="s">
        <v>400</v>
      </c>
      <c r="I1" s="268" t="s">
        <v>394</v>
      </c>
      <c r="J1" s="268" t="s">
        <v>384</v>
      </c>
      <c r="K1" s="268" t="s">
        <v>385</v>
      </c>
      <c r="L1" s="268" t="s">
        <v>404</v>
      </c>
      <c r="M1" s="268" t="s">
        <v>392</v>
      </c>
    </row>
    <row r="2" spans="1:13" x14ac:dyDescent="0.35">
      <c r="A2" s="251" t="s">
        <v>119</v>
      </c>
      <c r="B2" s="252"/>
      <c r="C2" s="252"/>
      <c r="D2" s="252"/>
      <c r="E2" s="282"/>
      <c r="F2" s="252"/>
      <c r="G2" s="252"/>
      <c r="I2" s="233" t="s">
        <v>395</v>
      </c>
      <c r="J2" s="270" t="s">
        <v>344</v>
      </c>
      <c r="K2" s="270" t="s">
        <v>389</v>
      </c>
      <c r="L2" s="270" t="s">
        <v>229</v>
      </c>
      <c r="M2" s="303">
        <v>100</v>
      </c>
    </row>
    <row r="3" spans="1:13" x14ac:dyDescent="0.35">
      <c r="A3" s="233" t="s">
        <v>54</v>
      </c>
      <c r="B3" s="270" t="s">
        <v>323</v>
      </c>
      <c r="C3" s="270" t="s">
        <v>324</v>
      </c>
      <c r="D3" s="209" t="s">
        <v>377</v>
      </c>
      <c r="E3" s="307">
        <v>30</v>
      </c>
      <c r="F3" s="307">
        <f>E3/G3</f>
        <v>24</v>
      </c>
      <c r="G3" s="270">
        <v>1.25</v>
      </c>
      <c r="I3" s="233" t="s">
        <v>72</v>
      </c>
      <c r="J3" s="270" t="s">
        <v>346</v>
      </c>
      <c r="K3" s="270" t="s">
        <v>390</v>
      </c>
      <c r="L3" s="270" t="s">
        <v>125</v>
      </c>
      <c r="M3" s="303">
        <v>250</v>
      </c>
    </row>
    <row r="4" spans="1:13" s="269" customFormat="1" ht="29.9" customHeight="1" x14ac:dyDescent="0.35">
      <c r="A4" s="269" t="s">
        <v>56</v>
      </c>
      <c r="B4" s="266" t="s">
        <v>326</v>
      </c>
      <c r="C4" s="266" t="s">
        <v>325</v>
      </c>
      <c r="D4" s="271" t="s">
        <v>327</v>
      </c>
      <c r="E4" s="307">
        <v>30</v>
      </c>
      <c r="F4" s="307">
        <f t="shared" ref="F4:F30" si="0">E4/G4</f>
        <v>24</v>
      </c>
      <c r="G4" s="270">
        <v>1.25</v>
      </c>
      <c r="I4" s="269" t="s">
        <v>73</v>
      </c>
      <c r="J4" s="270" t="s">
        <v>344</v>
      </c>
      <c r="K4" s="270" t="s">
        <v>389</v>
      </c>
      <c r="L4" s="270" t="s">
        <v>229</v>
      </c>
      <c r="M4" s="303">
        <v>250</v>
      </c>
    </row>
    <row r="5" spans="1:13" x14ac:dyDescent="0.35">
      <c r="A5" s="233" t="s">
        <v>59</v>
      </c>
      <c r="B5" s="270" t="s">
        <v>329</v>
      </c>
      <c r="C5" s="270" t="s">
        <v>330</v>
      </c>
      <c r="D5" s="209" t="s">
        <v>377</v>
      </c>
      <c r="E5" s="307">
        <v>50</v>
      </c>
      <c r="F5" s="307">
        <f t="shared" si="0"/>
        <v>40</v>
      </c>
      <c r="G5" s="270">
        <v>1.25</v>
      </c>
      <c r="I5" s="233" t="s">
        <v>156</v>
      </c>
      <c r="J5" s="270" t="s">
        <v>387</v>
      </c>
      <c r="K5" s="270" t="s">
        <v>386</v>
      </c>
      <c r="L5" s="270" t="s">
        <v>128</v>
      </c>
      <c r="M5" s="303">
        <v>2400</v>
      </c>
    </row>
    <row r="6" spans="1:13" x14ac:dyDescent="0.35">
      <c r="A6" s="254" t="s">
        <v>318</v>
      </c>
      <c r="B6" s="257"/>
      <c r="C6" s="257"/>
      <c r="D6" s="257"/>
      <c r="E6" s="308"/>
      <c r="F6" s="309"/>
      <c r="G6" s="257"/>
      <c r="I6" s="233" t="s">
        <v>130</v>
      </c>
      <c r="J6" s="270" t="s">
        <v>387</v>
      </c>
      <c r="K6" s="270" t="s">
        <v>386</v>
      </c>
      <c r="L6" s="270" t="s">
        <v>128</v>
      </c>
      <c r="M6" s="303">
        <v>3200</v>
      </c>
    </row>
    <row r="7" spans="1:13" x14ac:dyDescent="0.35">
      <c r="A7" s="233" t="s">
        <v>30</v>
      </c>
      <c r="B7" s="270" t="s">
        <v>336</v>
      </c>
      <c r="C7" s="270" t="s">
        <v>337</v>
      </c>
      <c r="D7" s="270" t="s">
        <v>401</v>
      </c>
      <c r="E7" s="307">
        <v>25</v>
      </c>
      <c r="F7" s="307">
        <f t="shared" si="0"/>
        <v>20</v>
      </c>
      <c r="G7" s="270">
        <v>1.25</v>
      </c>
      <c r="I7" s="269" t="s">
        <v>397</v>
      </c>
      <c r="J7" s="270" t="s">
        <v>387</v>
      </c>
      <c r="K7" s="270" t="s">
        <v>386</v>
      </c>
      <c r="L7" s="270" t="s">
        <v>128</v>
      </c>
      <c r="M7" s="303">
        <v>400</v>
      </c>
    </row>
    <row r="8" spans="1:13" s="269" customFormat="1" ht="15.65" customHeight="1" x14ac:dyDescent="0.35">
      <c r="A8" s="269" t="s">
        <v>55</v>
      </c>
      <c r="B8" s="266" t="s">
        <v>334</v>
      </c>
      <c r="C8" s="270" t="s">
        <v>335</v>
      </c>
      <c r="D8" s="270" t="s">
        <v>378</v>
      </c>
      <c r="E8" s="307">
        <v>15</v>
      </c>
      <c r="F8" s="307">
        <f t="shared" si="0"/>
        <v>12</v>
      </c>
      <c r="G8" s="270">
        <v>1.25</v>
      </c>
      <c r="I8" s="233" t="s">
        <v>132</v>
      </c>
      <c r="J8" s="270" t="s">
        <v>391</v>
      </c>
      <c r="K8" s="270" t="s">
        <v>221</v>
      </c>
      <c r="L8" s="270" t="s">
        <v>393</v>
      </c>
      <c r="M8" s="303">
        <v>300</v>
      </c>
    </row>
    <row r="9" spans="1:13" x14ac:dyDescent="0.35">
      <c r="A9" s="233" t="s">
        <v>70</v>
      </c>
      <c r="B9" s="270" t="s">
        <v>338</v>
      </c>
      <c r="C9" s="270" t="s">
        <v>339</v>
      </c>
      <c r="D9" s="270" t="s">
        <v>379</v>
      </c>
      <c r="E9" s="307">
        <v>450</v>
      </c>
      <c r="F9" s="307">
        <f t="shared" si="0"/>
        <v>360</v>
      </c>
      <c r="G9" s="270">
        <v>1.25</v>
      </c>
      <c r="I9" s="233" t="s">
        <v>131</v>
      </c>
      <c r="J9" s="270" t="s">
        <v>391</v>
      </c>
      <c r="K9" s="270" t="s">
        <v>221</v>
      </c>
      <c r="L9" s="270" t="s">
        <v>393</v>
      </c>
      <c r="M9" s="303">
        <v>500</v>
      </c>
    </row>
    <row r="10" spans="1:13" x14ac:dyDescent="0.35">
      <c r="A10" s="233" t="s">
        <v>396</v>
      </c>
      <c r="B10" s="270" t="s">
        <v>331</v>
      </c>
      <c r="C10" s="270" t="s">
        <v>332</v>
      </c>
      <c r="D10" s="270" t="s">
        <v>380</v>
      </c>
      <c r="E10" s="307">
        <v>15</v>
      </c>
      <c r="F10" s="307">
        <f t="shared" si="0"/>
        <v>12</v>
      </c>
      <c r="G10" s="270">
        <v>1.25</v>
      </c>
    </row>
    <row r="11" spans="1:13" x14ac:dyDescent="0.35">
      <c r="A11" s="258" t="s">
        <v>319</v>
      </c>
      <c r="B11" s="258"/>
      <c r="C11" s="258"/>
      <c r="D11" s="258"/>
      <c r="E11" s="310"/>
      <c r="F11" s="311"/>
      <c r="G11" s="258"/>
    </row>
    <row r="12" spans="1:13" x14ac:dyDescent="0.35">
      <c r="A12" s="233" t="s">
        <v>25</v>
      </c>
      <c r="B12" s="270" t="s">
        <v>340</v>
      </c>
      <c r="C12" s="270" t="s">
        <v>339</v>
      </c>
      <c r="D12" s="270" t="s">
        <v>368</v>
      </c>
      <c r="E12" s="307">
        <v>25</v>
      </c>
      <c r="F12" s="307">
        <f t="shared" si="0"/>
        <v>20</v>
      </c>
      <c r="G12" s="270">
        <v>1.25</v>
      </c>
      <c r="I12" s="233" t="s">
        <v>398</v>
      </c>
    </row>
    <row r="13" spans="1:13" x14ac:dyDescent="0.35">
      <c r="A13" s="233" t="s">
        <v>32</v>
      </c>
      <c r="B13" s="270" t="s">
        <v>336</v>
      </c>
      <c r="C13" s="270" t="s">
        <v>341</v>
      </c>
      <c r="D13" s="270" t="s">
        <v>401</v>
      </c>
      <c r="E13" s="307">
        <v>10</v>
      </c>
      <c r="F13" s="307">
        <f t="shared" si="0"/>
        <v>8</v>
      </c>
      <c r="G13" s="270">
        <v>1.25</v>
      </c>
    </row>
    <row r="14" spans="1:13" x14ac:dyDescent="0.35">
      <c r="A14" s="233" t="s">
        <v>397</v>
      </c>
      <c r="B14" s="270" t="s">
        <v>342</v>
      </c>
      <c r="C14" s="270" t="s">
        <v>343</v>
      </c>
      <c r="D14" s="270" t="s">
        <v>369</v>
      </c>
      <c r="E14" s="307">
        <v>10</v>
      </c>
      <c r="F14" s="307">
        <f t="shared" si="0"/>
        <v>8</v>
      </c>
      <c r="G14" s="270">
        <v>1.25</v>
      </c>
    </row>
    <row r="15" spans="1:13" x14ac:dyDescent="0.35">
      <c r="A15" s="233" t="s">
        <v>69</v>
      </c>
      <c r="B15" s="270" t="s">
        <v>345</v>
      </c>
      <c r="C15" s="270" t="s">
        <v>402</v>
      </c>
      <c r="D15" s="270" t="s">
        <v>333</v>
      </c>
      <c r="E15" s="307">
        <v>40</v>
      </c>
      <c r="F15" s="307">
        <f t="shared" si="0"/>
        <v>32</v>
      </c>
      <c r="G15" s="270">
        <v>1.25</v>
      </c>
    </row>
    <row r="16" spans="1:13" x14ac:dyDescent="0.35">
      <c r="A16" s="233" t="s">
        <v>320</v>
      </c>
      <c r="B16" s="270" t="s">
        <v>340</v>
      </c>
      <c r="C16" s="270" t="s">
        <v>339</v>
      </c>
      <c r="D16" s="270" t="s">
        <v>368</v>
      </c>
      <c r="E16" s="307">
        <v>10</v>
      </c>
      <c r="F16" s="307">
        <f t="shared" si="0"/>
        <v>8</v>
      </c>
      <c r="G16" s="270">
        <v>1.25</v>
      </c>
    </row>
    <row r="17" spans="1:7" x14ac:dyDescent="0.35">
      <c r="A17" s="233" t="s">
        <v>71</v>
      </c>
      <c r="B17" s="270" t="s">
        <v>340</v>
      </c>
      <c r="C17" s="270" t="s">
        <v>339</v>
      </c>
      <c r="D17" s="270" t="s">
        <v>368</v>
      </c>
      <c r="E17" s="307">
        <v>100</v>
      </c>
      <c r="F17" s="307">
        <f t="shared" si="0"/>
        <v>80</v>
      </c>
      <c r="G17" s="270">
        <v>1.25</v>
      </c>
    </row>
    <row r="18" spans="1:7" x14ac:dyDescent="0.35">
      <c r="A18" s="233" t="s">
        <v>74</v>
      </c>
      <c r="B18" s="270" t="s">
        <v>340</v>
      </c>
      <c r="C18" s="270" t="s">
        <v>339</v>
      </c>
      <c r="D18" s="270" t="s">
        <v>368</v>
      </c>
      <c r="E18" s="307">
        <v>15</v>
      </c>
      <c r="F18" s="307">
        <f t="shared" si="0"/>
        <v>12</v>
      </c>
      <c r="G18" s="270">
        <v>1.25</v>
      </c>
    </row>
    <row r="19" spans="1:7" x14ac:dyDescent="0.35">
      <c r="A19" s="262" t="s">
        <v>321</v>
      </c>
      <c r="B19" s="262"/>
      <c r="C19" s="262"/>
      <c r="D19" s="262"/>
      <c r="E19" s="312"/>
      <c r="F19" s="313"/>
      <c r="G19" s="262"/>
    </row>
    <row r="20" spans="1:7" x14ac:dyDescent="0.35">
      <c r="A20" s="233" t="s">
        <v>407</v>
      </c>
      <c r="B20" s="270" t="s">
        <v>344</v>
      </c>
      <c r="C20" s="270"/>
      <c r="D20" s="270" t="s">
        <v>370</v>
      </c>
      <c r="E20" s="307">
        <v>20</v>
      </c>
      <c r="F20" s="307">
        <f t="shared" si="0"/>
        <v>16</v>
      </c>
      <c r="G20" s="270">
        <v>1.25</v>
      </c>
    </row>
    <row r="21" spans="1:7" x14ac:dyDescent="0.35">
      <c r="A21" s="233" t="s">
        <v>408</v>
      </c>
      <c r="B21" s="270" t="s">
        <v>405</v>
      </c>
      <c r="C21" s="270"/>
      <c r="D21" s="270" t="s">
        <v>406</v>
      </c>
      <c r="E21" s="307">
        <v>20</v>
      </c>
      <c r="F21" s="307">
        <f t="shared" si="0"/>
        <v>16</v>
      </c>
      <c r="G21" s="270">
        <v>1.25</v>
      </c>
    </row>
    <row r="22" spans="1:7" x14ac:dyDescent="0.35">
      <c r="A22" s="233" t="s">
        <v>50</v>
      </c>
      <c r="B22" s="266" t="s">
        <v>347</v>
      </c>
      <c r="C22" s="270" t="s">
        <v>348</v>
      </c>
      <c r="D22" s="305" t="s">
        <v>367</v>
      </c>
      <c r="E22" s="307">
        <v>65</v>
      </c>
      <c r="F22" s="307">
        <f t="shared" si="0"/>
        <v>52</v>
      </c>
      <c r="G22" s="270">
        <v>1.25</v>
      </c>
    </row>
    <row r="23" spans="1:7" x14ac:dyDescent="0.35">
      <c r="A23" s="233" t="s">
        <v>356</v>
      </c>
      <c r="B23" s="270" t="s">
        <v>351</v>
      </c>
      <c r="C23" s="270" t="s">
        <v>350</v>
      </c>
      <c r="D23" s="305" t="s">
        <v>371</v>
      </c>
      <c r="E23" s="307">
        <v>50</v>
      </c>
      <c r="F23" s="307">
        <f t="shared" si="0"/>
        <v>40</v>
      </c>
      <c r="G23" s="270">
        <v>1.25</v>
      </c>
    </row>
    <row r="24" spans="1:7" x14ac:dyDescent="0.35">
      <c r="A24" s="233" t="s">
        <v>355</v>
      </c>
      <c r="B24" s="270" t="s">
        <v>352</v>
      </c>
      <c r="C24" s="270" t="s">
        <v>353</v>
      </c>
      <c r="D24" s="305" t="s">
        <v>372</v>
      </c>
      <c r="E24" s="307">
        <v>60</v>
      </c>
      <c r="F24" s="307">
        <f t="shared" si="0"/>
        <v>48</v>
      </c>
      <c r="G24" s="270">
        <v>1.25</v>
      </c>
    </row>
    <row r="25" spans="1:7" x14ac:dyDescent="0.35">
      <c r="A25" s="233" t="s">
        <v>52</v>
      </c>
      <c r="B25" s="270" t="s">
        <v>360</v>
      </c>
      <c r="C25" s="270" t="s">
        <v>361</v>
      </c>
      <c r="D25" s="305" t="s">
        <v>359</v>
      </c>
      <c r="E25" s="307">
        <v>55</v>
      </c>
      <c r="F25" s="307">
        <f t="shared" si="0"/>
        <v>44</v>
      </c>
      <c r="G25" s="270">
        <v>1.25</v>
      </c>
    </row>
    <row r="26" spans="1:7" x14ac:dyDescent="0.35">
      <c r="A26" s="233" t="s">
        <v>61</v>
      </c>
      <c r="B26" s="270" t="s">
        <v>365</v>
      </c>
      <c r="C26" s="270" t="s">
        <v>366</v>
      </c>
      <c r="D26" s="305" t="s">
        <v>374</v>
      </c>
      <c r="E26" s="307">
        <v>300</v>
      </c>
      <c r="F26" s="307">
        <f t="shared" si="0"/>
        <v>240</v>
      </c>
      <c r="G26" s="270">
        <v>1.25</v>
      </c>
    </row>
    <row r="27" spans="1:7" x14ac:dyDescent="0.35">
      <c r="A27" s="233" t="s">
        <v>0</v>
      </c>
      <c r="B27" s="270" t="s">
        <v>362</v>
      </c>
      <c r="C27" s="270" t="s">
        <v>363</v>
      </c>
      <c r="D27" s="305" t="s">
        <v>364</v>
      </c>
      <c r="E27" s="307">
        <v>150</v>
      </c>
      <c r="F27" s="307">
        <f t="shared" si="0"/>
        <v>120</v>
      </c>
      <c r="G27" s="270">
        <v>1.25</v>
      </c>
    </row>
    <row r="28" spans="1:7" x14ac:dyDescent="0.35">
      <c r="A28" s="233" t="s">
        <v>62</v>
      </c>
      <c r="B28" s="270" t="s">
        <v>342</v>
      </c>
      <c r="C28" s="270" t="s">
        <v>349</v>
      </c>
      <c r="D28" s="305" t="s">
        <v>372</v>
      </c>
      <c r="E28" s="307">
        <v>80</v>
      </c>
      <c r="F28" s="307">
        <f t="shared" si="0"/>
        <v>64</v>
      </c>
      <c r="G28" s="270">
        <v>1.25</v>
      </c>
    </row>
    <row r="29" spans="1:7" x14ac:dyDescent="0.35">
      <c r="A29" s="233" t="s">
        <v>72</v>
      </c>
      <c r="B29" s="270" t="s">
        <v>346</v>
      </c>
      <c r="C29" s="270"/>
      <c r="D29" s="305" t="s">
        <v>375</v>
      </c>
      <c r="E29" s="307">
        <v>55</v>
      </c>
      <c r="F29" s="307">
        <f t="shared" si="0"/>
        <v>44</v>
      </c>
      <c r="G29" s="270">
        <v>1.25</v>
      </c>
    </row>
    <row r="30" spans="1:7" x14ac:dyDescent="0.35">
      <c r="A30" s="233" t="s">
        <v>73</v>
      </c>
      <c r="B30" s="270" t="s">
        <v>344</v>
      </c>
      <c r="C30" s="270"/>
      <c r="D30" s="305" t="s">
        <v>370</v>
      </c>
      <c r="E30" s="307">
        <v>55</v>
      </c>
      <c r="F30" s="307">
        <f t="shared" si="0"/>
        <v>44</v>
      </c>
      <c r="G30" s="270">
        <v>1.25</v>
      </c>
    </row>
    <row r="31" spans="1:7" x14ac:dyDescent="0.35">
      <c r="A31" s="253" t="s">
        <v>122</v>
      </c>
      <c r="B31" s="245"/>
      <c r="C31" s="245"/>
      <c r="D31" s="245"/>
      <c r="E31" s="314"/>
      <c r="F31" s="315"/>
      <c r="G31" s="245"/>
    </row>
    <row r="32" spans="1:7" x14ac:dyDescent="0.35">
      <c r="A32" s="233" t="s">
        <v>29</v>
      </c>
      <c r="B32" s="270" t="s">
        <v>315</v>
      </c>
      <c r="C32" s="270"/>
      <c r="D32" s="270" t="s">
        <v>315</v>
      </c>
      <c r="E32" s="316">
        <v>0.65</v>
      </c>
      <c r="F32" s="307">
        <v>0.52</v>
      </c>
      <c r="G32" s="270">
        <v>1.25</v>
      </c>
    </row>
    <row r="33" spans="1:12" x14ac:dyDescent="0.35">
      <c r="A33" s="233" t="s">
        <v>26</v>
      </c>
      <c r="B33" s="270" t="s">
        <v>309</v>
      </c>
      <c r="C33" s="270"/>
      <c r="D33" s="270" t="s">
        <v>309</v>
      </c>
      <c r="E33" s="316">
        <v>0.5</v>
      </c>
      <c r="F33" s="307">
        <v>0.4</v>
      </c>
      <c r="G33" s="270">
        <v>1.25</v>
      </c>
    </row>
    <row r="34" spans="1:12" x14ac:dyDescent="0.35">
      <c r="A34" s="233" t="s">
        <v>27</v>
      </c>
      <c r="B34" s="270" t="s">
        <v>309</v>
      </c>
      <c r="C34" s="270"/>
      <c r="D34" s="270" t="s">
        <v>309</v>
      </c>
      <c r="E34" s="316">
        <v>1.1499999999999999</v>
      </c>
      <c r="F34" s="307">
        <v>0.91999999999999993</v>
      </c>
      <c r="G34" s="270">
        <v>1.25</v>
      </c>
    </row>
    <row r="35" spans="1:12" x14ac:dyDescent="0.35">
      <c r="A35" s="233" t="s">
        <v>28</v>
      </c>
      <c r="B35" s="270" t="s">
        <v>309</v>
      </c>
      <c r="C35" s="270"/>
      <c r="D35" s="270" t="s">
        <v>309</v>
      </c>
      <c r="E35" s="316">
        <v>0.4</v>
      </c>
      <c r="F35" s="307">
        <v>0.32</v>
      </c>
      <c r="G35" s="270">
        <v>1.25</v>
      </c>
    </row>
    <row r="36" spans="1:12" x14ac:dyDescent="0.35">
      <c r="A36" s="233" t="s">
        <v>31</v>
      </c>
      <c r="B36" s="270" t="s">
        <v>315</v>
      </c>
      <c r="C36" s="270"/>
      <c r="D36" s="270" t="s">
        <v>315</v>
      </c>
      <c r="E36" s="316">
        <v>0.29000000000000004</v>
      </c>
      <c r="F36" s="307">
        <v>0.23</v>
      </c>
      <c r="G36" s="270">
        <v>1.25</v>
      </c>
      <c r="H36" s="209"/>
      <c r="I36" s="209"/>
      <c r="J36" s="209"/>
      <c r="K36" s="209"/>
      <c r="L36" s="209"/>
    </row>
    <row r="37" spans="1:12" s="209" customFormat="1" x14ac:dyDescent="0.35">
      <c r="A37" s="306" t="s">
        <v>409</v>
      </c>
      <c r="B37" s="209" t="s">
        <v>309</v>
      </c>
      <c r="D37" s="209" t="s">
        <v>309</v>
      </c>
      <c r="E37" s="307">
        <v>0.18</v>
      </c>
      <c r="F37" s="307">
        <v>0.14000000000000001</v>
      </c>
      <c r="G37" s="209">
        <v>1.25</v>
      </c>
      <c r="H37" s="238"/>
      <c r="I37" s="238"/>
      <c r="J37" s="233"/>
      <c r="K37" s="233"/>
      <c r="L37" s="233"/>
    </row>
    <row r="38" spans="1:12" x14ac:dyDescent="0.35">
      <c r="A38" s="233" t="s">
        <v>410</v>
      </c>
      <c r="B38" s="270" t="s">
        <v>309</v>
      </c>
      <c r="C38" s="270"/>
      <c r="D38" s="270" t="s">
        <v>309</v>
      </c>
      <c r="E38" s="316">
        <v>0.27</v>
      </c>
      <c r="F38" s="307">
        <v>0.22</v>
      </c>
      <c r="G38" s="270">
        <v>1.25</v>
      </c>
    </row>
    <row r="39" spans="1:12" x14ac:dyDescent="0.35">
      <c r="A39" s="233" t="s">
        <v>411</v>
      </c>
      <c r="B39" s="270" t="s">
        <v>309</v>
      </c>
      <c r="C39" s="270"/>
      <c r="D39" s="270" t="s">
        <v>309</v>
      </c>
      <c r="E39" s="316">
        <v>0.39</v>
      </c>
      <c r="F39" s="307">
        <v>0.31</v>
      </c>
      <c r="G39" s="270">
        <v>1.25</v>
      </c>
    </row>
    <row r="40" spans="1:12" x14ac:dyDescent="0.35">
      <c r="A40" s="233" t="s">
        <v>412</v>
      </c>
      <c r="B40" s="270" t="s">
        <v>309</v>
      </c>
      <c r="C40" s="270"/>
      <c r="D40" s="270" t="s">
        <v>309</v>
      </c>
      <c r="E40" s="316">
        <v>0.55000000000000004</v>
      </c>
      <c r="F40" s="307">
        <v>0.44</v>
      </c>
      <c r="G40" s="270">
        <v>1.25</v>
      </c>
    </row>
    <row r="41" spans="1:12" x14ac:dyDescent="0.35">
      <c r="A41" s="233" t="s">
        <v>49</v>
      </c>
      <c r="B41" s="270" t="s">
        <v>315</v>
      </c>
      <c r="C41" s="270"/>
      <c r="D41" s="270" t="s">
        <v>315</v>
      </c>
      <c r="E41" s="316">
        <v>0.49</v>
      </c>
      <c r="F41" s="307">
        <v>0.39</v>
      </c>
      <c r="G41" s="270">
        <v>1.25</v>
      </c>
    </row>
    <row r="42" spans="1:12" x14ac:dyDescent="0.35">
      <c r="A42" s="233" t="s">
        <v>57</v>
      </c>
      <c r="B42" s="270" t="s">
        <v>311</v>
      </c>
      <c r="C42" s="270"/>
      <c r="D42" s="270" t="s">
        <v>311</v>
      </c>
      <c r="E42" s="316">
        <v>1.23</v>
      </c>
      <c r="F42" s="307">
        <v>0.98</v>
      </c>
      <c r="G42" s="270">
        <v>1.25</v>
      </c>
    </row>
    <row r="43" spans="1:12" x14ac:dyDescent="0.35">
      <c r="A43" s="233" t="s">
        <v>57</v>
      </c>
      <c r="B43" s="270" t="s">
        <v>312</v>
      </c>
      <c r="C43" s="270"/>
      <c r="D43" s="270" t="s">
        <v>312</v>
      </c>
      <c r="E43" s="316">
        <v>1.61</v>
      </c>
      <c r="F43" s="307">
        <v>1.29</v>
      </c>
      <c r="G43" s="270">
        <v>1.25</v>
      </c>
    </row>
    <row r="44" spans="1:12" x14ac:dyDescent="0.35">
      <c r="A44" s="233" t="s">
        <v>58</v>
      </c>
      <c r="B44" s="270" t="s">
        <v>313</v>
      </c>
      <c r="C44" s="270"/>
      <c r="D44" s="270" t="s">
        <v>313</v>
      </c>
      <c r="E44" s="316">
        <v>1.85</v>
      </c>
      <c r="F44" s="307">
        <v>1.48</v>
      </c>
      <c r="G44" s="270">
        <v>1.25</v>
      </c>
    </row>
    <row r="45" spans="1:12" x14ac:dyDescent="0.35">
      <c r="A45" s="233" t="s">
        <v>60</v>
      </c>
      <c r="B45" s="270" t="s">
        <v>309</v>
      </c>
      <c r="C45" s="270"/>
      <c r="D45" s="270" t="s">
        <v>309</v>
      </c>
      <c r="E45" s="316">
        <v>0.55000000000000004</v>
      </c>
      <c r="F45" s="307">
        <v>0.44000000000000006</v>
      </c>
      <c r="G45" s="270">
        <v>1.25</v>
      </c>
    </row>
    <row r="46" spans="1:12" x14ac:dyDescent="0.35">
      <c r="A46" s="233" t="s">
        <v>413</v>
      </c>
      <c r="B46" s="270" t="s">
        <v>309</v>
      </c>
      <c r="C46" s="270"/>
      <c r="D46" s="270" t="s">
        <v>309</v>
      </c>
      <c r="E46" s="316">
        <v>0.1</v>
      </c>
      <c r="F46" s="307">
        <v>0.08</v>
      </c>
      <c r="G46" s="270">
        <v>1.25</v>
      </c>
    </row>
    <row r="47" spans="1:12" x14ac:dyDescent="0.35">
      <c r="A47" s="233" t="s">
        <v>414</v>
      </c>
      <c r="B47" s="270" t="s">
        <v>309</v>
      </c>
      <c r="C47" s="270"/>
      <c r="D47" s="270" t="s">
        <v>309</v>
      </c>
      <c r="E47" s="316">
        <v>0.3</v>
      </c>
      <c r="F47" s="307">
        <v>0.24</v>
      </c>
      <c r="G47" s="270">
        <v>1.25</v>
      </c>
    </row>
    <row r="48" spans="1:12" ht="15" thickBot="1" x14ac:dyDescent="0.4"/>
    <row r="49" spans="1:5" ht="72" customHeight="1" thickBot="1" x14ac:dyDescent="0.4">
      <c r="A49" s="81" t="s">
        <v>376</v>
      </c>
      <c r="B49" s="88" t="s">
        <v>148</v>
      </c>
      <c r="E49" s="270">
        <f>0.29/1.25</f>
        <v>0.23199999999999998</v>
      </c>
    </row>
    <row r="50" spans="1:5" x14ac:dyDescent="0.35">
      <c r="A50" s="289" t="s">
        <v>382</v>
      </c>
      <c r="B50" s="300" t="s">
        <v>420</v>
      </c>
    </row>
    <row r="51" spans="1:5" x14ac:dyDescent="0.35">
      <c r="A51" s="290" t="s">
        <v>9</v>
      </c>
      <c r="B51" s="301" t="s">
        <v>415</v>
      </c>
    </row>
    <row r="52" spans="1:5" x14ac:dyDescent="0.35">
      <c r="A52" s="290" t="s">
        <v>6</v>
      </c>
      <c r="B52" s="301" t="s">
        <v>416</v>
      </c>
    </row>
    <row r="53" spans="1:5" x14ac:dyDescent="0.35">
      <c r="A53" s="290" t="s">
        <v>7</v>
      </c>
      <c r="B53" s="301" t="s">
        <v>417</v>
      </c>
    </row>
    <row r="54" spans="1:5" x14ac:dyDescent="0.35">
      <c r="A54" s="290" t="s">
        <v>8</v>
      </c>
      <c r="B54" s="301" t="s">
        <v>418</v>
      </c>
    </row>
    <row r="55" spans="1:5" ht="15" thickBot="1" x14ac:dyDescent="0.4">
      <c r="A55" s="296" t="s">
        <v>383</v>
      </c>
      <c r="B55" s="302" t="s">
        <v>419</v>
      </c>
    </row>
  </sheetData>
  <pageMargins left="0.7" right="0.7" top="0.75" bottom="0.75" header="0.3" footer="0.3"/>
  <pageSetup orientation="portrait" verticalDpi="300" r:id="rId1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85458-F27F-4782-AC2F-32E256A51AFB}">
  <sheetPr codeName="Sheet8"/>
  <dimension ref="A1:G61"/>
  <sheetViews>
    <sheetView showGridLines="0" topLeftCell="A40" workbookViewId="0">
      <selection activeCell="A47" sqref="A47:XFD47"/>
    </sheetView>
  </sheetViews>
  <sheetFormatPr defaultRowHeight="14.5" x14ac:dyDescent="0.35"/>
  <cols>
    <col min="1" max="1" width="40.1796875" customWidth="1"/>
    <col min="2" max="2" width="24.54296875" customWidth="1"/>
    <col min="3" max="3" width="24.453125" customWidth="1"/>
    <col min="4" max="4" width="21.26953125" customWidth="1"/>
    <col min="5" max="5" width="10.54296875" bestFit="1" customWidth="1"/>
    <col min="6" max="6" width="10" customWidth="1"/>
    <col min="7" max="7" width="11" customWidth="1"/>
    <col min="10" max="10" width="31.1796875" bestFit="1" customWidth="1"/>
    <col min="11" max="14" width="18.54296875" customWidth="1"/>
  </cols>
  <sheetData>
    <row r="1" spans="1:7" ht="43.5" x14ac:dyDescent="0.35">
      <c r="A1" s="338" t="s">
        <v>305</v>
      </c>
      <c r="B1" s="339" t="s">
        <v>322</v>
      </c>
      <c r="C1" s="339" t="s">
        <v>2</v>
      </c>
      <c r="D1" s="567" t="s">
        <v>184</v>
      </c>
      <c r="E1" s="568"/>
      <c r="F1" s="340" t="s">
        <v>422</v>
      </c>
      <c r="G1" s="341" t="s">
        <v>423</v>
      </c>
    </row>
    <row r="2" spans="1:7" x14ac:dyDescent="0.35">
      <c r="A2" s="342" t="s">
        <v>119</v>
      </c>
      <c r="B2" s="319"/>
      <c r="C2" s="343"/>
      <c r="D2" s="317"/>
      <c r="E2" s="317"/>
      <c r="F2" s="318"/>
      <c r="G2" s="344"/>
    </row>
    <row r="3" spans="1:7" ht="30.75" customHeight="1" x14ac:dyDescent="0.35">
      <c r="A3" s="372" t="s">
        <v>54</v>
      </c>
      <c r="B3" s="331" t="s">
        <v>323</v>
      </c>
      <c r="C3" s="328" t="s">
        <v>421</v>
      </c>
      <c r="D3" s="326" t="s">
        <v>241</v>
      </c>
      <c r="E3" s="322" t="s">
        <v>449</v>
      </c>
      <c r="F3" s="323">
        <v>30</v>
      </c>
      <c r="G3" s="345">
        <v>24</v>
      </c>
    </row>
    <row r="4" spans="1:7" ht="30.75" customHeight="1" x14ac:dyDescent="0.35">
      <c r="A4" s="373" t="s">
        <v>56</v>
      </c>
      <c r="B4" s="332" t="s">
        <v>435</v>
      </c>
      <c r="C4" s="329" t="s">
        <v>433</v>
      </c>
      <c r="D4" s="327" t="s">
        <v>434</v>
      </c>
      <c r="E4" s="324" t="s">
        <v>187</v>
      </c>
      <c r="F4" s="325">
        <v>30</v>
      </c>
      <c r="G4" s="346">
        <v>24</v>
      </c>
    </row>
    <row r="5" spans="1:7" ht="30.75" customHeight="1" x14ac:dyDescent="0.35">
      <c r="A5" s="374" t="s">
        <v>59</v>
      </c>
      <c r="B5" s="333" t="s">
        <v>329</v>
      </c>
      <c r="C5" s="330" t="s">
        <v>424</v>
      </c>
      <c r="D5" s="347" t="s">
        <v>241</v>
      </c>
      <c r="E5" s="320" t="s">
        <v>449</v>
      </c>
      <c r="F5" s="321">
        <v>50</v>
      </c>
      <c r="G5" s="348">
        <v>40</v>
      </c>
    </row>
    <row r="6" spans="1:7" x14ac:dyDescent="0.35">
      <c r="A6" s="349" t="s">
        <v>318</v>
      </c>
      <c r="B6" s="350"/>
      <c r="C6" s="350"/>
      <c r="D6" s="350"/>
      <c r="E6" s="351"/>
      <c r="F6" s="352"/>
      <c r="G6" s="353"/>
    </row>
    <row r="7" spans="1:7" ht="30.75" customHeight="1" x14ac:dyDescent="0.35">
      <c r="A7" s="372" t="s">
        <v>30</v>
      </c>
      <c r="B7" s="331" t="s">
        <v>336</v>
      </c>
      <c r="C7" s="328" t="s">
        <v>425</v>
      </c>
      <c r="D7" s="326" t="s">
        <v>426</v>
      </c>
      <c r="E7" s="322" t="s">
        <v>220</v>
      </c>
      <c r="F7" s="323">
        <v>25</v>
      </c>
      <c r="G7" s="345">
        <v>20</v>
      </c>
    </row>
    <row r="8" spans="1:7" ht="30.75" customHeight="1" x14ac:dyDescent="0.35">
      <c r="A8" s="373" t="s">
        <v>55</v>
      </c>
      <c r="B8" s="332" t="s">
        <v>427</v>
      </c>
      <c r="C8" s="329" t="s">
        <v>428</v>
      </c>
      <c r="D8" s="327" t="s">
        <v>426</v>
      </c>
      <c r="E8" s="324" t="s">
        <v>450</v>
      </c>
      <c r="F8" s="325">
        <v>15</v>
      </c>
      <c r="G8" s="346">
        <v>12</v>
      </c>
    </row>
    <row r="9" spans="1:7" ht="30.75" customHeight="1" x14ac:dyDescent="0.35">
      <c r="A9" s="372" t="s">
        <v>70</v>
      </c>
      <c r="B9" s="331" t="s">
        <v>338</v>
      </c>
      <c r="C9" s="328" t="s">
        <v>339</v>
      </c>
      <c r="D9" s="326" t="s">
        <v>426</v>
      </c>
      <c r="E9" s="322" t="s">
        <v>451</v>
      </c>
      <c r="F9" s="323">
        <v>450</v>
      </c>
      <c r="G9" s="345">
        <v>360</v>
      </c>
    </row>
    <row r="10" spans="1:7" ht="30.75" customHeight="1" x14ac:dyDescent="0.35">
      <c r="A10" s="373" t="s">
        <v>396</v>
      </c>
      <c r="B10" s="332" t="s">
        <v>331</v>
      </c>
      <c r="C10" s="329" t="s">
        <v>332</v>
      </c>
      <c r="D10" s="327" t="s">
        <v>426</v>
      </c>
      <c r="E10" s="324" t="s">
        <v>452</v>
      </c>
      <c r="F10" s="325">
        <v>15</v>
      </c>
      <c r="G10" s="346">
        <v>12</v>
      </c>
    </row>
    <row r="11" spans="1:7" x14ac:dyDescent="0.35">
      <c r="A11" s="354" t="s">
        <v>319</v>
      </c>
      <c r="B11" s="355"/>
      <c r="C11" s="355"/>
      <c r="D11" s="355"/>
      <c r="E11" s="355"/>
      <c r="F11" s="356"/>
      <c r="G11" s="357"/>
    </row>
    <row r="12" spans="1:7" ht="30.75" customHeight="1" x14ac:dyDescent="0.35">
      <c r="A12" s="372" t="s">
        <v>25</v>
      </c>
      <c r="B12" s="331" t="s">
        <v>220</v>
      </c>
      <c r="C12" s="328" t="s">
        <v>429</v>
      </c>
      <c r="D12" s="326" t="s">
        <v>426</v>
      </c>
      <c r="E12" s="322" t="s">
        <v>187</v>
      </c>
      <c r="F12" s="323">
        <v>25</v>
      </c>
      <c r="G12" s="345">
        <v>20</v>
      </c>
    </row>
    <row r="13" spans="1:7" ht="30.75" customHeight="1" x14ac:dyDescent="0.35">
      <c r="A13" s="373" t="s">
        <v>32</v>
      </c>
      <c r="B13" s="332" t="s">
        <v>336</v>
      </c>
      <c r="C13" s="329" t="s">
        <v>430</v>
      </c>
      <c r="D13" s="327" t="s">
        <v>426</v>
      </c>
      <c r="E13" s="324" t="s">
        <v>220</v>
      </c>
      <c r="F13" s="325">
        <v>10</v>
      </c>
      <c r="G13" s="346">
        <v>8</v>
      </c>
    </row>
    <row r="14" spans="1:7" ht="30.75" customHeight="1" x14ac:dyDescent="0.35">
      <c r="A14" s="372" t="s">
        <v>397</v>
      </c>
      <c r="B14" s="331" t="s">
        <v>436</v>
      </c>
      <c r="C14" s="328" t="s">
        <v>431</v>
      </c>
      <c r="D14" s="326" t="s">
        <v>426</v>
      </c>
      <c r="E14" s="322" t="s">
        <v>188</v>
      </c>
      <c r="F14" s="323">
        <v>10</v>
      </c>
      <c r="G14" s="345">
        <v>8</v>
      </c>
    </row>
    <row r="15" spans="1:7" ht="30.75" customHeight="1" x14ac:dyDescent="0.35">
      <c r="A15" s="373" t="s">
        <v>69</v>
      </c>
      <c r="B15" s="332" t="s">
        <v>336</v>
      </c>
      <c r="C15" s="329" t="s">
        <v>432</v>
      </c>
      <c r="D15" s="327" t="s">
        <v>333</v>
      </c>
      <c r="E15" s="324"/>
      <c r="F15" s="325">
        <v>40</v>
      </c>
      <c r="G15" s="346">
        <v>32</v>
      </c>
    </row>
    <row r="16" spans="1:7" ht="30.75" customHeight="1" x14ac:dyDescent="0.35">
      <c r="A16" s="372" t="s">
        <v>437</v>
      </c>
      <c r="B16" s="331" t="s">
        <v>220</v>
      </c>
      <c r="C16" s="328" t="s">
        <v>429</v>
      </c>
      <c r="D16" s="326" t="s">
        <v>426</v>
      </c>
      <c r="E16" s="322" t="s">
        <v>187</v>
      </c>
      <c r="F16" s="323">
        <v>10</v>
      </c>
      <c r="G16" s="345">
        <v>8</v>
      </c>
    </row>
    <row r="17" spans="1:7" ht="30.75" customHeight="1" x14ac:dyDescent="0.35">
      <c r="A17" s="373" t="s">
        <v>71</v>
      </c>
      <c r="B17" s="332" t="s">
        <v>220</v>
      </c>
      <c r="C17" s="329" t="s">
        <v>429</v>
      </c>
      <c r="D17" s="327" t="s">
        <v>426</v>
      </c>
      <c r="E17" s="334" t="s">
        <v>187</v>
      </c>
      <c r="F17" s="325">
        <v>100</v>
      </c>
      <c r="G17" s="346">
        <v>80</v>
      </c>
    </row>
    <row r="18" spans="1:7" ht="30.75" customHeight="1" x14ac:dyDescent="0.35">
      <c r="A18" s="372" t="s">
        <v>74</v>
      </c>
      <c r="B18" s="331" t="s">
        <v>220</v>
      </c>
      <c r="C18" s="328" t="s">
        <v>429</v>
      </c>
      <c r="D18" s="326" t="s">
        <v>426</v>
      </c>
      <c r="E18" s="322" t="s">
        <v>187</v>
      </c>
      <c r="F18" s="323">
        <v>15</v>
      </c>
      <c r="G18" s="345">
        <v>12</v>
      </c>
    </row>
    <row r="19" spans="1:7" x14ac:dyDescent="0.35">
      <c r="A19" s="358" t="s">
        <v>321</v>
      </c>
      <c r="B19" s="359"/>
      <c r="C19" s="359"/>
      <c r="D19" s="359"/>
      <c r="E19" s="359"/>
      <c r="F19" s="360"/>
      <c r="G19" s="361"/>
    </row>
    <row r="20" spans="1:7" ht="30.75" customHeight="1" x14ac:dyDescent="0.35">
      <c r="A20" s="372" t="s">
        <v>443</v>
      </c>
      <c r="B20" s="335" t="s">
        <v>438</v>
      </c>
      <c r="C20" s="328"/>
      <c r="D20" s="336" t="s">
        <v>439</v>
      </c>
      <c r="E20" s="322" t="s">
        <v>453</v>
      </c>
      <c r="F20" s="323">
        <v>20</v>
      </c>
      <c r="G20" s="345">
        <v>16</v>
      </c>
    </row>
    <row r="21" spans="1:7" ht="30.75" customHeight="1" x14ac:dyDescent="0.35">
      <c r="A21" s="373" t="s">
        <v>50</v>
      </c>
      <c r="B21" s="332" t="s">
        <v>440</v>
      </c>
      <c r="C21" s="329" t="s">
        <v>441</v>
      </c>
      <c r="D21" s="327" t="s">
        <v>426</v>
      </c>
      <c r="E21" s="324" t="s">
        <v>454</v>
      </c>
      <c r="F21" s="325">
        <v>65</v>
      </c>
      <c r="G21" s="346">
        <v>52</v>
      </c>
    </row>
    <row r="22" spans="1:7" ht="30.75" customHeight="1" x14ac:dyDescent="0.35">
      <c r="A22" s="372" t="s">
        <v>356</v>
      </c>
      <c r="B22" s="331" t="s">
        <v>442</v>
      </c>
      <c r="C22" s="328" t="s">
        <v>429</v>
      </c>
      <c r="D22" s="326" t="s">
        <v>241</v>
      </c>
      <c r="E22" s="322" t="s">
        <v>187</v>
      </c>
      <c r="F22" s="323">
        <v>50</v>
      </c>
      <c r="G22" s="345">
        <v>40</v>
      </c>
    </row>
    <row r="23" spans="1:7" ht="30.75" customHeight="1" x14ac:dyDescent="0.35">
      <c r="A23" s="373" t="s">
        <v>355</v>
      </c>
      <c r="B23" s="332" t="s">
        <v>436</v>
      </c>
      <c r="C23" s="329" t="s">
        <v>431</v>
      </c>
      <c r="D23" s="327" t="s">
        <v>426</v>
      </c>
      <c r="E23" s="324" t="s">
        <v>188</v>
      </c>
      <c r="F23" s="325">
        <v>60</v>
      </c>
      <c r="G23" s="346">
        <v>48</v>
      </c>
    </row>
    <row r="24" spans="1:7" ht="30.75" customHeight="1" x14ac:dyDescent="0.35">
      <c r="A24" s="372" t="s">
        <v>52</v>
      </c>
      <c r="B24" s="335" t="s">
        <v>444</v>
      </c>
      <c r="C24" s="337" t="s">
        <v>445</v>
      </c>
      <c r="D24" s="326" t="s">
        <v>359</v>
      </c>
      <c r="E24" s="322"/>
      <c r="F24" s="323">
        <v>55</v>
      </c>
      <c r="G24" s="345">
        <v>44</v>
      </c>
    </row>
    <row r="25" spans="1:7" ht="30.75" customHeight="1" x14ac:dyDescent="0.35">
      <c r="A25" s="373" t="s">
        <v>61</v>
      </c>
      <c r="B25" s="332" t="s">
        <v>331</v>
      </c>
      <c r="C25" s="329" t="s">
        <v>446</v>
      </c>
      <c r="D25" s="327" t="s">
        <v>426</v>
      </c>
      <c r="E25" s="324" t="s">
        <v>455</v>
      </c>
      <c r="F25" s="325">
        <v>300</v>
      </c>
      <c r="G25" s="346">
        <v>240</v>
      </c>
    </row>
    <row r="26" spans="1:7" ht="30.75" customHeight="1" x14ac:dyDescent="0.35">
      <c r="A26" s="372" t="s">
        <v>0</v>
      </c>
      <c r="B26" s="331" t="s">
        <v>447</v>
      </c>
      <c r="C26" s="328" t="s">
        <v>448</v>
      </c>
      <c r="D26" s="326" t="s">
        <v>364</v>
      </c>
      <c r="E26" s="322"/>
      <c r="F26" s="323">
        <v>150</v>
      </c>
      <c r="G26" s="345">
        <v>120</v>
      </c>
    </row>
    <row r="27" spans="1:7" ht="30.75" customHeight="1" x14ac:dyDescent="0.35">
      <c r="A27" s="373" t="s">
        <v>62</v>
      </c>
      <c r="B27" s="332" t="s">
        <v>436</v>
      </c>
      <c r="C27" s="329" t="s">
        <v>431</v>
      </c>
      <c r="D27" s="327" t="s">
        <v>426</v>
      </c>
      <c r="E27" s="324" t="s">
        <v>188</v>
      </c>
      <c r="F27" s="325">
        <v>80</v>
      </c>
      <c r="G27" s="346">
        <v>64</v>
      </c>
    </row>
    <row r="28" spans="1:7" ht="30.75" customHeight="1" x14ac:dyDescent="0.35">
      <c r="A28" s="372" t="s">
        <v>72</v>
      </c>
      <c r="B28" s="331" t="s">
        <v>346</v>
      </c>
      <c r="C28" s="328"/>
      <c r="D28" s="326" t="s">
        <v>192</v>
      </c>
      <c r="E28" s="322" t="s">
        <v>453</v>
      </c>
      <c r="F28" s="323">
        <v>55</v>
      </c>
      <c r="G28" s="345">
        <v>44</v>
      </c>
    </row>
    <row r="29" spans="1:7" ht="30.75" customHeight="1" x14ac:dyDescent="0.35">
      <c r="A29" s="373" t="s">
        <v>73</v>
      </c>
      <c r="B29" s="332" t="s">
        <v>344</v>
      </c>
      <c r="C29" s="329"/>
      <c r="D29" s="327" t="s">
        <v>186</v>
      </c>
      <c r="E29" s="324" t="s">
        <v>453</v>
      </c>
      <c r="F29" s="325">
        <v>55</v>
      </c>
      <c r="G29" s="346">
        <v>44</v>
      </c>
    </row>
    <row r="30" spans="1:7" x14ac:dyDescent="0.35">
      <c r="A30" s="362" t="s">
        <v>122</v>
      </c>
      <c r="B30" s="363"/>
      <c r="C30" s="363"/>
      <c r="D30" s="363"/>
      <c r="E30" s="363"/>
      <c r="F30" s="364"/>
      <c r="G30" s="365"/>
    </row>
    <row r="31" spans="1:7" ht="30.75" customHeight="1" x14ac:dyDescent="0.35">
      <c r="A31" s="375" t="s">
        <v>29</v>
      </c>
      <c r="B31" s="331" t="s">
        <v>315</v>
      </c>
      <c r="C31" s="328"/>
      <c r="D31" s="326" t="s">
        <v>315</v>
      </c>
      <c r="E31" s="322" t="s">
        <v>456</v>
      </c>
      <c r="F31" s="323">
        <v>0.65</v>
      </c>
      <c r="G31" s="345">
        <v>0.52</v>
      </c>
    </row>
    <row r="32" spans="1:7" ht="30.75" customHeight="1" x14ac:dyDescent="0.35">
      <c r="A32" s="376" t="s">
        <v>26</v>
      </c>
      <c r="B32" s="332" t="s">
        <v>309</v>
      </c>
      <c r="C32" s="329"/>
      <c r="D32" s="327" t="s">
        <v>309</v>
      </c>
      <c r="E32" s="324" t="s">
        <v>456</v>
      </c>
      <c r="F32" s="325">
        <v>0.5</v>
      </c>
      <c r="G32" s="346">
        <v>0.4</v>
      </c>
    </row>
    <row r="33" spans="1:7" ht="30.75" customHeight="1" x14ac:dyDescent="0.35">
      <c r="A33" s="375" t="s">
        <v>27</v>
      </c>
      <c r="B33" s="331" t="s">
        <v>309</v>
      </c>
      <c r="C33" s="328"/>
      <c r="D33" s="326" t="s">
        <v>309</v>
      </c>
      <c r="E33" s="322" t="s">
        <v>456</v>
      </c>
      <c r="F33" s="323">
        <v>1.1499999999999999</v>
      </c>
      <c r="G33" s="345">
        <v>0.91999999999999993</v>
      </c>
    </row>
    <row r="34" spans="1:7" ht="30.75" customHeight="1" x14ac:dyDescent="0.35">
      <c r="A34" s="376" t="s">
        <v>28</v>
      </c>
      <c r="B34" s="332" t="s">
        <v>309</v>
      </c>
      <c r="C34" s="329"/>
      <c r="D34" s="327" t="s">
        <v>309</v>
      </c>
      <c r="E34" s="324" t="s">
        <v>456</v>
      </c>
      <c r="F34" s="325">
        <v>0.4</v>
      </c>
      <c r="G34" s="346">
        <v>0.32</v>
      </c>
    </row>
    <row r="35" spans="1:7" ht="30.75" customHeight="1" x14ac:dyDescent="0.35">
      <c r="A35" s="375" t="s">
        <v>31</v>
      </c>
      <c r="B35" s="331" t="s">
        <v>315</v>
      </c>
      <c r="C35" s="328"/>
      <c r="D35" s="326" t="s">
        <v>315</v>
      </c>
      <c r="E35" s="322" t="s">
        <v>456</v>
      </c>
      <c r="F35" s="323">
        <v>0.29000000000000004</v>
      </c>
      <c r="G35" s="345">
        <v>0.23</v>
      </c>
    </row>
    <row r="36" spans="1:7" ht="30.75" customHeight="1" x14ac:dyDescent="0.35">
      <c r="A36" s="376" t="s">
        <v>409</v>
      </c>
      <c r="B36" s="332" t="s">
        <v>309</v>
      </c>
      <c r="C36" s="329"/>
      <c r="D36" s="327" t="s">
        <v>309</v>
      </c>
      <c r="E36" s="324" t="s">
        <v>456</v>
      </c>
      <c r="F36" s="325">
        <v>0.18</v>
      </c>
      <c r="G36" s="346">
        <v>0.14000000000000001</v>
      </c>
    </row>
    <row r="37" spans="1:7" ht="30.75" customHeight="1" x14ac:dyDescent="0.35">
      <c r="A37" s="375" t="s">
        <v>410</v>
      </c>
      <c r="B37" s="331" t="s">
        <v>309</v>
      </c>
      <c r="C37" s="328"/>
      <c r="D37" s="326" t="s">
        <v>309</v>
      </c>
      <c r="E37" s="322" t="s">
        <v>456</v>
      </c>
      <c r="F37" s="323">
        <v>0.27</v>
      </c>
      <c r="G37" s="345">
        <v>0.22</v>
      </c>
    </row>
    <row r="38" spans="1:7" ht="30.75" customHeight="1" x14ac:dyDescent="0.35">
      <c r="A38" s="376" t="s">
        <v>411</v>
      </c>
      <c r="B38" s="332" t="s">
        <v>309</v>
      </c>
      <c r="C38" s="329"/>
      <c r="D38" s="327" t="s">
        <v>309</v>
      </c>
      <c r="E38" s="324" t="s">
        <v>456</v>
      </c>
      <c r="F38" s="325">
        <v>0.39</v>
      </c>
      <c r="G38" s="346">
        <v>0.31</v>
      </c>
    </row>
    <row r="39" spans="1:7" ht="30.75" customHeight="1" x14ac:dyDescent="0.35">
      <c r="A39" s="375" t="s">
        <v>412</v>
      </c>
      <c r="B39" s="331" t="s">
        <v>309</v>
      </c>
      <c r="C39" s="328"/>
      <c r="D39" s="326" t="s">
        <v>309</v>
      </c>
      <c r="E39" s="322" t="s">
        <v>456</v>
      </c>
      <c r="F39" s="323">
        <v>0.55000000000000004</v>
      </c>
      <c r="G39" s="345">
        <v>0.44</v>
      </c>
    </row>
    <row r="40" spans="1:7" ht="30.75" customHeight="1" x14ac:dyDescent="0.35">
      <c r="A40" s="376" t="s">
        <v>49</v>
      </c>
      <c r="B40" s="332" t="s">
        <v>315</v>
      </c>
      <c r="C40" s="329"/>
      <c r="D40" s="327" t="s">
        <v>315</v>
      </c>
      <c r="E40" s="324" t="s">
        <v>456</v>
      </c>
      <c r="F40" s="325">
        <v>0.49</v>
      </c>
      <c r="G40" s="346">
        <v>0.39</v>
      </c>
    </row>
    <row r="41" spans="1:7" ht="30.75" customHeight="1" x14ac:dyDescent="0.35">
      <c r="A41" s="375" t="s">
        <v>57</v>
      </c>
      <c r="B41" s="331" t="s">
        <v>311</v>
      </c>
      <c r="C41" s="328"/>
      <c r="D41" s="326" t="s">
        <v>311</v>
      </c>
      <c r="E41" s="322" t="s">
        <v>457</v>
      </c>
      <c r="F41" s="323">
        <v>1.23</v>
      </c>
      <c r="G41" s="345">
        <v>0.98</v>
      </c>
    </row>
    <row r="42" spans="1:7" ht="30.75" customHeight="1" x14ac:dyDescent="0.35">
      <c r="A42" s="376" t="s">
        <v>57</v>
      </c>
      <c r="B42" s="332" t="s">
        <v>312</v>
      </c>
      <c r="C42" s="329"/>
      <c r="D42" s="327" t="s">
        <v>312</v>
      </c>
      <c r="E42" s="324" t="s">
        <v>458</v>
      </c>
      <c r="F42" s="325">
        <v>1.61</v>
      </c>
      <c r="G42" s="346">
        <v>1.29</v>
      </c>
    </row>
    <row r="43" spans="1:7" ht="30.75" customHeight="1" x14ac:dyDescent="0.35">
      <c r="A43" s="375" t="s">
        <v>58</v>
      </c>
      <c r="B43" s="331" t="s">
        <v>313</v>
      </c>
      <c r="C43" s="328"/>
      <c r="D43" s="326" t="s">
        <v>313</v>
      </c>
      <c r="E43" s="322" t="s">
        <v>459</v>
      </c>
      <c r="F43" s="323">
        <v>1.85</v>
      </c>
      <c r="G43" s="345">
        <v>1.48</v>
      </c>
    </row>
    <row r="44" spans="1:7" ht="30.75" customHeight="1" x14ac:dyDescent="0.35">
      <c r="A44" s="376" t="s">
        <v>60</v>
      </c>
      <c r="B44" s="332" t="s">
        <v>309</v>
      </c>
      <c r="C44" s="329"/>
      <c r="D44" s="327" t="s">
        <v>309</v>
      </c>
      <c r="E44" s="324" t="s">
        <v>456</v>
      </c>
      <c r="F44" s="325">
        <v>0.55000000000000004</v>
      </c>
      <c r="G44" s="346">
        <v>0.44000000000000006</v>
      </c>
    </row>
    <row r="45" spans="1:7" ht="30.75" customHeight="1" x14ac:dyDescent="0.35">
      <c r="A45" s="375" t="s">
        <v>413</v>
      </c>
      <c r="B45" s="331" t="s">
        <v>309</v>
      </c>
      <c r="C45" s="328"/>
      <c r="D45" s="326" t="s">
        <v>309</v>
      </c>
      <c r="E45" s="322" t="s">
        <v>456</v>
      </c>
      <c r="F45" s="323">
        <v>0.1</v>
      </c>
      <c r="G45" s="345">
        <v>0.08</v>
      </c>
    </row>
    <row r="46" spans="1:7" ht="30.75" customHeight="1" thickBot="1" x14ac:dyDescent="0.4">
      <c r="A46" s="377" t="s">
        <v>414</v>
      </c>
      <c r="B46" s="366" t="s">
        <v>309</v>
      </c>
      <c r="C46" s="367"/>
      <c r="D46" s="368" t="s">
        <v>309</v>
      </c>
      <c r="E46" s="369" t="s">
        <v>456</v>
      </c>
      <c r="F46" s="370">
        <v>0.3</v>
      </c>
      <c r="G46" s="371">
        <v>0.24</v>
      </c>
    </row>
    <row r="47" spans="1:7" x14ac:dyDescent="0.35">
      <c r="A47" s="233" t="s">
        <v>398</v>
      </c>
    </row>
    <row r="49" spans="1:5" ht="15" thickBot="1" x14ac:dyDescent="0.4"/>
    <row r="50" spans="1:5" ht="29.5" thickBot="1" x14ac:dyDescent="0.4">
      <c r="A50" s="378" t="s">
        <v>460</v>
      </c>
      <c r="B50" s="379" t="s">
        <v>384</v>
      </c>
      <c r="C50" s="379" t="s">
        <v>385</v>
      </c>
      <c r="D50" s="378" t="s">
        <v>404</v>
      </c>
      <c r="E50" s="380" t="s">
        <v>392</v>
      </c>
    </row>
    <row r="51" spans="1:5" ht="21.75" customHeight="1" x14ac:dyDescent="0.35">
      <c r="A51" s="376" t="s">
        <v>395</v>
      </c>
      <c r="B51" s="381" t="s">
        <v>344</v>
      </c>
      <c r="C51" s="382" t="s">
        <v>389</v>
      </c>
      <c r="D51" s="383" t="s">
        <v>463</v>
      </c>
      <c r="E51" s="387">
        <v>100</v>
      </c>
    </row>
    <row r="52" spans="1:5" ht="21.75" customHeight="1" x14ac:dyDescent="0.35">
      <c r="A52" s="375" t="s">
        <v>72</v>
      </c>
      <c r="B52" s="384" t="s">
        <v>346</v>
      </c>
      <c r="C52" s="385" t="s">
        <v>390</v>
      </c>
      <c r="D52" s="386" t="s">
        <v>464</v>
      </c>
      <c r="E52" s="388">
        <v>250</v>
      </c>
    </row>
    <row r="53" spans="1:5" ht="21.75" customHeight="1" x14ac:dyDescent="0.35">
      <c r="A53" s="376" t="s">
        <v>73</v>
      </c>
      <c r="B53" s="381" t="s">
        <v>344</v>
      </c>
      <c r="C53" s="382" t="s">
        <v>389</v>
      </c>
      <c r="D53" s="383" t="s">
        <v>463</v>
      </c>
      <c r="E53" s="387">
        <v>250</v>
      </c>
    </row>
    <row r="54" spans="1:5" ht="21.75" customHeight="1" x14ac:dyDescent="0.35">
      <c r="A54" s="375" t="s">
        <v>156</v>
      </c>
      <c r="B54" s="384" t="s">
        <v>461</v>
      </c>
      <c r="C54" s="385" t="s">
        <v>386</v>
      </c>
      <c r="D54" s="386" t="s">
        <v>128</v>
      </c>
      <c r="E54" s="388">
        <v>2400</v>
      </c>
    </row>
    <row r="55" spans="1:5" ht="21.75" customHeight="1" x14ac:dyDescent="0.35">
      <c r="A55" s="376" t="s">
        <v>130</v>
      </c>
      <c r="B55" s="381" t="s">
        <v>461</v>
      </c>
      <c r="C55" s="382" t="s">
        <v>386</v>
      </c>
      <c r="D55" s="383" t="s">
        <v>128</v>
      </c>
      <c r="E55" s="387">
        <v>3200</v>
      </c>
    </row>
    <row r="56" spans="1:5" ht="21.75" customHeight="1" x14ac:dyDescent="0.35">
      <c r="A56" s="375" t="s">
        <v>397</v>
      </c>
      <c r="B56" s="384" t="s">
        <v>461</v>
      </c>
      <c r="C56" s="385" t="s">
        <v>386</v>
      </c>
      <c r="D56" s="386" t="s">
        <v>128</v>
      </c>
      <c r="E56" s="388">
        <v>400</v>
      </c>
    </row>
    <row r="57" spans="1:5" ht="21.75" customHeight="1" x14ac:dyDescent="0.35">
      <c r="A57" s="376" t="s">
        <v>132</v>
      </c>
      <c r="B57" s="381" t="s">
        <v>462</v>
      </c>
      <c r="C57" s="382" t="s">
        <v>221</v>
      </c>
      <c r="D57" s="383" t="s">
        <v>465</v>
      </c>
      <c r="E57" s="387">
        <v>300</v>
      </c>
    </row>
    <row r="58" spans="1:5" ht="21.75" customHeight="1" x14ac:dyDescent="0.35">
      <c r="A58" s="375" t="s">
        <v>131</v>
      </c>
      <c r="B58" s="384" t="s">
        <v>462</v>
      </c>
      <c r="C58" s="385" t="s">
        <v>221</v>
      </c>
      <c r="D58" s="386" t="s">
        <v>465</v>
      </c>
      <c r="E58" s="388">
        <v>500</v>
      </c>
    </row>
    <row r="59" spans="1:5" x14ac:dyDescent="0.35">
      <c r="A59" s="233" t="s">
        <v>398</v>
      </c>
      <c r="B59" s="233"/>
      <c r="C59" s="233"/>
      <c r="D59" s="233"/>
      <c r="E59" s="233"/>
    </row>
    <row r="60" spans="1:5" x14ac:dyDescent="0.35">
      <c r="A60" s="233"/>
      <c r="B60" s="233"/>
      <c r="C60" s="233"/>
      <c r="D60" s="233"/>
      <c r="E60" s="233"/>
    </row>
    <row r="61" spans="1:5" x14ac:dyDescent="0.35">
      <c r="B61" s="233"/>
      <c r="C61" s="233"/>
      <c r="D61" s="233"/>
      <c r="E61" s="233"/>
    </row>
  </sheetData>
  <mergeCells count="1">
    <mergeCell ref="D1:E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5D1E1-F2F1-4F7F-82F2-E431E34B1A8B}">
  <sheetPr codeName="Sheet9"/>
  <dimension ref="A1:G66"/>
  <sheetViews>
    <sheetView showGridLines="0" workbookViewId="0">
      <selection activeCell="C4" sqref="C4"/>
    </sheetView>
  </sheetViews>
  <sheetFormatPr defaultRowHeight="14.5" x14ac:dyDescent="0.35"/>
  <cols>
    <col min="1" max="1" width="40.1796875" customWidth="1"/>
    <col min="2" max="2" width="24.54296875" customWidth="1"/>
    <col min="3" max="3" width="24.453125" customWidth="1"/>
    <col min="4" max="4" width="21.26953125" customWidth="1"/>
    <col min="5" max="5" width="10.54296875" bestFit="1" customWidth="1"/>
    <col min="6" max="6" width="10" customWidth="1"/>
    <col min="7" max="7" width="11" customWidth="1"/>
    <col min="10" max="10" width="31.1796875" bestFit="1" customWidth="1"/>
    <col min="11" max="14" width="18.54296875" customWidth="1"/>
  </cols>
  <sheetData>
    <row r="1" spans="1:7" ht="43.5" x14ac:dyDescent="0.35">
      <c r="A1" s="338" t="s">
        <v>305</v>
      </c>
      <c r="B1" s="339" t="s">
        <v>322</v>
      </c>
      <c r="C1" s="339" t="s">
        <v>2</v>
      </c>
      <c r="D1" s="567" t="s">
        <v>184</v>
      </c>
      <c r="E1" s="568"/>
      <c r="F1" s="340" t="s">
        <v>422</v>
      </c>
      <c r="G1" s="341" t="s">
        <v>423</v>
      </c>
    </row>
    <row r="2" spans="1:7" x14ac:dyDescent="0.35">
      <c r="A2" s="342" t="s">
        <v>119</v>
      </c>
      <c r="B2" s="319"/>
      <c r="C2" s="343"/>
      <c r="D2" s="317"/>
      <c r="E2" s="317"/>
      <c r="F2" s="318"/>
      <c r="G2" s="344"/>
    </row>
    <row r="3" spans="1:7" ht="30.75" customHeight="1" x14ac:dyDescent="0.35">
      <c r="A3" s="372" t="s">
        <v>54</v>
      </c>
      <c r="B3" s="331" t="s">
        <v>323</v>
      </c>
      <c r="C3" s="328" t="s">
        <v>421</v>
      </c>
      <c r="D3" s="326" t="s">
        <v>241</v>
      </c>
      <c r="E3" s="322" t="s">
        <v>449</v>
      </c>
      <c r="F3" s="323">
        <v>30</v>
      </c>
      <c r="G3" s="345">
        <v>24</v>
      </c>
    </row>
    <row r="4" spans="1:7" ht="30.75" customHeight="1" x14ac:dyDescent="0.35">
      <c r="A4" s="373" t="s">
        <v>56</v>
      </c>
      <c r="B4" s="332" t="s">
        <v>435</v>
      </c>
      <c r="C4" s="329" t="s">
        <v>433</v>
      </c>
      <c r="D4" s="327" t="s">
        <v>434</v>
      </c>
      <c r="E4" s="324" t="s">
        <v>187</v>
      </c>
      <c r="F4" s="325">
        <v>30</v>
      </c>
      <c r="G4" s="346">
        <v>24</v>
      </c>
    </row>
    <row r="5" spans="1:7" ht="30.75" customHeight="1" x14ac:dyDescent="0.35">
      <c r="A5" s="374" t="s">
        <v>59</v>
      </c>
      <c r="B5" s="333" t="s">
        <v>329</v>
      </c>
      <c r="C5" s="330" t="s">
        <v>424</v>
      </c>
      <c r="D5" s="347" t="s">
        <v>241</v>
      </c>
      <c r="E5" s="320" t="s">
        <v>449</v>
      </c>
      <c r="F5" s="321">
        <v>50</v>
      </c>
      <c r="G5" s="348">
        <v>40</v>
      </c>
    </row>
    <row r="6" spans="1:7" x14ac:dyDescent="0.35">
      <c r="A6" s="349" t="s">
        <v>318</v>
      </c>
      <c r="B6" s="350"/>
      <c r="C6" s="350"/>
      <c r="D6" s="350"/>
      <c r="E6" s="351"/>
      <c r="F6" s="352"/>
      <c r="G6" s="353"/>
    </row>
    <row r="7" spans="1:7" ht="30.75" customHeight="1" x14ac:dyDescent="0.35">
      <c r="A7" s="372" t="s">
        <v>30</v>
      </c>
      <c r="B7" s="331" t="s">
        <v>336</v>
      </c>
      <c r="C7" s="328" t="s">
        <v>425</v>
      </c>
      <c r="D7" s="326" t="s">
        <v>426</v>
      </c>
      <c r="E7" s="322" t="s">
        <v>220</v>
      </c>
      <c r="F7" s="323">
        <v>25</v>
      </c>
      <c r="G7" s="345">
        <v>20</v>
      </c>
    </row>
    <row r="8" spans="1:7" ht="30.75" customHeight="1" x14ac:dyDescent="0.35">
      <c r="A8" s="373" t="s">
        <v>55</v>
      </c>
      <c r="B8" s="332" t="s">
        <v>427</v>
      </c>
      <c r="C8" s="329" t="s">
        <v>428</v>
      </c>
      <c r="D8" s="327" t="s">
        <v>426</v>
      </c>
      <c r="E8" s="324" t="s">
        <v>450</v>
      </c>
      <c r="F8" s="325">
        <v>15</v>
      </c>
      <c r="G8" s="346">
        <v>12</v>
      </c>
    </row>
    <row r="9" spans="1:7" ht="30.75" customHeight="1" x14ac:dyDescent="0.35">
      <c r="A9" s="372" t="s">
        <v>70</v>
      </c>
      <c r="B9" s="331" t="s">
        <v>338</v>
      </c>
      <c r="C9" s="328" t="s">
        <v>429</v>
      </c>
      <c r="D9" s="326" t="s">
        <v>426</v>
      </c>
      <c r="E9" s="322" t="s">
        <v>451</v>
      </c>
      <c r="F9" s="323">
        <v>450</v>
      </c>
      <c r="G9" s="345">
        <v>360</v>
      </c>
    </row>
    <row r="10" spans="1:7" ht="30.75" customHeight="1" x14ac:dyDescent="0.35">
      <c r="A10" s="373" t="s">
        <v>396</v>
      </c>
      <c r="B10" s="332" t="s">
        <v>331</v>
      </c>
      <c r="C10" s="329" t="s">
        <v>332</v>
      </c>
      <c r="D10" s="327" t="s">
        <v>426</v>
      </c>
      <c r="E10" s="324" t="s">
        <v>452</v>
      </c>
      <c r="F10" s="325">
        <v>15</v>
      </c>
      <c r="G10" s="346">
        <v>12</v>
      </c>
    </row>
    <row r="11" spans="1:7" x14ac:dyDescent="0.35">
      <c r="A11" s="354" t="s">
        <v>319</v>
      </c>
      <c r="B11" s="355"/>
      <c r="C11" s="355"/>
      <c r="D11" s="355"/>
      <c r="E11" s="355"/>
      <c r="F11" s="356"/>
      <c r="G11" s="357"/>
    </row>
    <row r="12" spans="1:7" ht="30.75" customHeight="1" x14ac:dyDescent="0.35">
      <c r="A12" s="372" t="s">
        <v>25</v>
      </c>
      <c r="B12" s="331" t="s">
        <v>220</v>
      </c>
      <c r="C12" s="328" t="s">
        <v>429</v>
      </c>
      <c r="D12" s="326" t="s">
        <v>426</v>
      </c>
      <c r="E12" s="322" t="s">
        <v>187</v>
      </c>
      <c r="F12" s="323">
        <v>25</v>
      </c>
      <c r="G12" s="345">
        <v>20</v>
      </c>
    </row>
    <row r="13" spans="1:7" ht="30.75" customHeight="1" x14ac:dyDescent="0.35">
      <c r="A13" s="373" t="s">
        <v>32</v>
      </c>
      <c r="B13" s="332" t="s">
        <v>336</v>
      </c>
      <c r="C13" s="329" t="s">
        <v>430</v>
      </c>
      <c r="D13" s="327" t="s">
        <v>426</v>
      </c>
      <c r="E13" s="324" t="s">
        <v>220</v>
      </c>
      <c r="F13" s="325">
        <v>10</v>
      </c>
      <c r="G13" s="346">
        <v>8</v>
      </c>
    </row>
    <row r="14" spans="1:7" ht="30.75" customHeight="1" x14ac:dyDescent="0.35">
      <c r="A14" s="372" t="s">
        <v>397</v>
      </c>
      <c r="B14" s="331" t="s">
        <v>436</v>
      </c>
      <c r="C14" s="328" t="s">
        <v>431</v>
      </c>
      <c r="D14" s="326" t="s">
        <v>426</v>
      </c>
      <c r="E14" s="322" t="s">
        <v>188</v>
      </c>
      <c r="F14" s="323">
        <v>10</v>
      </c>
      <c r="G14" s="345">
        <v>8</v>
      </c>
    </row>
    <row r="15" spans="1:7" ht="30.75" customHeight="1" x14ac:dyDescent="0.35">
      <c r="A15" s="373" t="s">
        <v>69</v>
      </c>
      <c r="B15" s="332" t="s">
        <v>336</v>
      </c>
      <c r="C15" s="329" t="s">
        <v>432</v>
      </c>
      <c r="D15" s="327" t="s">
        <v>333</v>
      </c>
      <c r="E15" s="324"/>
      <c r="F15" s="325">
        <v>40</v>
      </c>
      <c r="G15" s="346">
        <v>32</v>
      </c>
    </row>
    <row r="16" spans="1:7" ht="30.75" customHeight="1" x14ac:dyDescent="0.35">
      <c r="A16" s="372" t="s">
        <v>437</v>
      </c>
      <c r="B16" s="331" t="s">
        <v>220</v>
      </c>
      <c r="C16" s="328" t="s">
        <v>429</v>
      </c>
      <c r="D16" s="326" t="s">
        <v>426</v>
      </c>
      <c r="E16" s="322" t="s">
        <v>187</v>
      </c>
      <c r="F16" s="323">
        <v>10</v>
      </c>
      <c r="G16" s="345">
        <v>8</v>
      </c>
    </row>
    <row r="17" spans="1:7" ht="30.75" customHeight="1" x14ac:dyDescent="0.35">
      <c r="A17" s="373" t="s">
        <v>71</v>
      </c>
      <c r="B17" s="332" t="s">
        <v>220</v>
      </c>
      <c r="C17" s="329" t="s">
        <v>429</v>
      </c>
      <c r="D17" s="327" t="s">
        <v>426</v>
      </c>
      <c r="E17" s="334" t="s">
        <v>187</v>
      </c>
      <c r="F17" s="325">
        <v>100</v>
      </c>
      <c r="G17" s="346">
        <v>80</v>
      </c>
    </row>
    <row r="18" spans="1:7" ht="30.75" customHeight="1" x14ac:dyDescent="0.35">
      <c r="A18" s="372" t="s">
        <v>74</v>
      </c>
      <c r="B18" s="331" t="s">
        <v>220</v>
      </c>
      <c r="C18" s="328" t="s">
        <v>429</v>
      </c>
      <c r="D18" s="326" t="s">
        <v>426</v>
      </c>
      <c r="E18" s="322" t="s">
        <v>187</v>
      </c>
      <c r="F18" s="323">
        <v>15</v>
      </c>
      <c r="G18" s="345">
        <v>12</v>
      </c>
    </row>
    <row r="19" spans="1:7" x14ac:dyDescent="0.35">
      <c r="A19" s="358" t="s">
        <v>321</v>
      </c>
      <c r="B19" s="359"/>
      <c r="C19" s="359"/>
      <c r="D19" s="359"/>
      <c r="E19" s="359"/>
      <c r="F19" s="360"/>
      <c r="G19" s="361"/>
    </row>
    <row r="20" spans="1:7" ht="30.75" customHeight="1" x14ac:dyDescent="0.35">
      <c r="A20" s="373" t="s">
        <v>50</v>
      </c>
      <c r="B20" s="332" t="s">
        <v>440</v>
      </c>
      <c r="C20" s="329" t="s">
        <v>441</v>
      </c>
      <c r="D20" s="327" t="s">
        <v>426</v>
      </c>
      <c r="E20" s="324" t="s">
        <v>454</v>
      </c>
      <c r="F20" s="325">
        <v>65</v>
      </c>
      <c r="G20" s="346">
        <v>52</v>
      </c>
    </row>
    <row r="21" spans="1:7" ht="30.75" customHeight="1" x14ac:dyDescent="0.35">
      <c r="A21" s="372" t="s">
        <v>356</v>
      </c>
      <c r="B21" s="331" t="s">
        <v>442</v>
      </c>
      <c r="C21" s="328" t="s">
        <v>429</v>
      </c>
      <c r="D21" s="326" t="s">
        <v>241</v>
      </c>
      <c r="E21" s="322" t="s">
        <v>187</v>
      </c>
      <c r="F21" s="323">
        <v>50</v>
      </c>
      <c r="G21" s="345">
        <v>40</v>
      </c>
    </row>
    <row r="22" spans="1:7" ht="30.75" customHeight="1" x14ac:dyDescent="0.35">
      <c r="A22" s="373" t="s">
        <v>355</v>
      </c>
      <c r="B22" s="332" t="s">
        <v>436</v>
      </c>
      <c r="C22" s="329" t="s">
        <v>431</v>
      </c>
      <c r="D22" s="327" t="s">
        <v>426</v>
      </c>
      <c r="E22" s="324" t="s">
        <v>188</v>
      </c>
      <c r="F22" s="325">
        <v>60</v>
      </c>
      <c r="G22" s="346">
        <v>48</v>
      </c>
    </row>
    <row r="23" spans="1:7" ht="30.75" customHeight="1" x14ac:dyDescent="0.35">
      <c r="A23" s="372" t="s">
        <v>52</v>
      </c>
      <c r="B23" s="335" t="s">
        <v>444</v>
      </c>
      <c r="C23" s="337" t="s">
        <v>445</v>
      </c>
      <c r="D23" s="326" t="s">
        <v>359</v>
      </c>
      <c r="E23" s="322"/>
      <c r="F23" s="323">
        <v>55</v>
      </c>
      <c r="G23" s="345">
        <v>44</v>
      </c>
    </row>
    <row r="24" spans="1:7" ht="30.75" customHeight="1" x14ac:dyDescent="0.35">
      <c r="A24" s="373" t="s">
        <v>61</v>
      </c>
      <c r="B24" s="332" t="s">
        <v>331</v>
      </c>
      <c r="C24" s="329" t="s">
        <v>446</v>
      </c>
      <c r="D24" s="327" t="s">
        <v>426</v>
      </c>
      <c r="E24" s="324" t="s">
        <v>455</v>
      </c>
      <c r="F24" s="325">
        <v>300</v>
      </c>
      <c r="G24" s="346">
        <v>240</v>
      </c>
    </row>
    <row r="25" spans="1:7" ht="30.75" customHeight="1" x14ac:dyDescent="0.35">
      <c r="A25" s="372" t="s">
        <v>0</v>
      </c>
      <c r="B25" s="331" t="s">
        <v>447</v>
      </c>
      <c r="C25" s="328" t="s">
        <v>448</v>
      </c>
      <c r="D25" s="326" t="s">
        <v>364</v>
      </c>
      <c r="E25" s="322"/>
      <c r="F25" s="323">
        <v>150</v>
      </c>
      <c r="G25" s="345">
        <v>120</v>
      </c>
    </row>
    <row r="26" spans="1:7" ht="30.75" customHeight="1" x14ac:dyDescent="0.35">
      <c r="A26" s="373" t="s">
        <v>62</v>
      </c>
      <c r="B26" s="332" t="s">
        <v>436</v>
      </c>
      <c r="C26" s="329" t="s">
        <v>431</v>
      </c>
      <c r="D26" s="327" t="s">
        <v>426</v>
      </c>
      <c r="E26" s="324" t="s">
        <v>188</v>
      </c>
      <c r="F26" s="325">
        <v>80</v>
      </c>
      <c r="G26" s="346">
        <v>64</v>
      </c>
    </row>
    <row r="27" spans="1:7" ht="30.75" customHeight="1" x14ac:dyDescent="0.35">
      <c r="A27" s="372" t="s">
        <v>72</v>
      </c>
      <c r="B27" s="331" t="s">
        <v>346</v>
      </c>
      <c r="C27" s="328"/>
      <c r="D27" s="326" t="s">
        <v>192</v>
      </c>
      <c r="E27" s="322" t="s">
        <v>453</v>
      </c>
      <c r="F27" s="323">
        <v>55</v>
      </c>
      <c r="G27" s="345">
        <v>44</v>
      </c>
    </row>
    <row r="28" spans="1:7" ht="30.75" customHeight="1" x14ac:dyDescent="0.35">
      <c r="A28" s="373" t="s">
        <v>73</v>
      </c>
      <c r="B28" s="332" t="s">
        <v>344</v>
      </c>
      <c r="C28" s="329"/>
      <c r="D28" s="327" t="s">
        <v>186</v>
      </c>
      <c r="E28" s="324" t="s">
        <v>453</v>
      </c>
      <c r="F28" s="325">
        <v>55</v>
      </c>
      <c r="G28" s="346">
        <v>44</v>
      </c>
    </row>
    <row r="29" spans="1:7" x14ac:dyDescent="0.35">
      <c r="A29" s="362" t="s">
        <v>122</v>
      </c>
      <c r="B29" s="363"/>
      <c r="C29" s="363"/>
      <c r="D29" s="363"/>
      <c r="E29" s="363"/>
      <c r="F29" s="364"/>
      <c r="G29" s="365"/>
    </row>
    <row r="30" spans="1:7" ht="30.75" customHeight="1" x14ac:dyDescent="0.35">
      <c r="A30" s="375" t="s">
        <v>29</v>
      </c>
      <c r="B30" s="331" t="s">
        <v>315</v>
      </c>
      <c r="C30" s="328"/>
      <c r="D30" s="326" t="s">
        <v>315</v>
      </c>
      <c r="E30" s="322" t="s">
        <v>456</v>
      </c>
      <c r="F30" s="323">
        <v>0.65</v>
      </c>
      <c r="G30" s="345">
        <v>0.52</v>
      </c>
    </row>
    <row r="31" spans="1:7" ht="30.75" customHeight="1" x14ac:dyDescent="0.35">
      <c r="A31" s="376" t="s">
        <v>26</v>
      </c>
      <c r="B31" s="332" t="s">
        <v>309</v>
      </c>
      <c r="C31" s="329"/>
      <c r="D31" s="327" t="s">
        <v>309</v>
      </c>
      <c r="E31" s="324" t="s">
        <v>456</v>
      </c>
      <c r="F31" s="325">
        <v>0.5</v>
      </c>
      <c r="G31" s="346">
        <v>0.4</v>
      </c>
    </row>
    <row r="32" spans="1:7" ht="30.75" customHeight="1" x14ac:dyDescent="0.35">
      <c r="A32" s="375" t="s">
        <v>27</v>
      </c>
      <c r="B32" s="331" t="s">
        <v>309</v>
      </c>
      <c r="C32" s="328"/>
      <c r="D32" s="326" t="s">
        <v>309</v>
      </c>
      <c r="E32" s="322" t="s">
        <v>456</v>
      </c>
      <c r="F32" s="323">
        <v>1.1499999999999999</v>
      </c>
      <c r="G32" s="345">
        <v>0.91999999999999993</v>
      </c>
    </row>
    <row r="33" spans="1:7" ht="30.75" customHeight="1" x14ac:dyDescent="0.35">
      <c r="A33" s="376" t="s">
        <v>28</v>
      </c>
      <c r="B33" s="332" t="s">
        <v>309</v>
      </c>
      <c r="C33" s="329"/>
      <c r="D33" s="327" t="s">
        <v>309</v>
      </c>
      <c r="E33" s="324" t="s">
        <v>456</v>
      </c>
      <c r="F33" s="325">
        <v>0.4</v>
      </c>
      <c r="G33" s="346">
        <v>0.32</v>
      </c>
    </row>
    <row r="34" spans="1:7" ht="30.75" customHeight="1" x14ac:dyDescent="0.35">
      <c r="A34" s="375" t="s">
        <v>31</v>
      </c>
      <c r="B34" s="331" t="s">
        <v>315</v>
      </c>
      <c r="C34" s="328"/>
      <c r="D34" s="326" t="s">
        <v>315</v>
      </c>
      <c r="E34" s="322" t="s">
        <v>456</v>
      </c>
      <c r="F34" s="323">
        <v>0.29000000000000004</v>
      </c>
      <c r="G34" s="345">
        <v>0.23</v>
      </c>
    </row>
    <row r="35" spans="1:7" ht="30.75" customHeight="1" x14ac:dyDescent="0.35">
      <c r="A35" s="376" t="s">
        <v>409</v>
      </c>
      <c r="B35" s="332" t="s">
        <v>309</v>
      </c>
      <c r="C35" s="329"/>
      <c r="D35" s="327" t="s">
        <v>309</v>
      </c>
      <c r="E35" s="324" t="s">
        <v>456</v>
      </c>
      <c r="F35" s="325">
        <v>0.18</v>
      </c>
      <c r="G35" s="346">
        <v>0.14000000000000001</v>
      </c>
    </row>
    <row r="36" spans="1:7" ht="30.75" customHeight="1" x14ac:dyDescent="0.35">
      <c r="A36" s="375" t="s">
        <v>410</v>
      </c>
      <c r="B36" s="331" t="s">
        <v>309</v>
      </c>
      <c r="C36" s="328"/>
      <c r="D36" s="326" t="s">
        <v>309</v>
      </c>
      <c r="E36" s="322" t="s">
        <v>456</v>
      </c>
      <c r="F36" s="323">
        <v>0.27</v>
      </c>
      <c r="G36" s="345">
        <v>0.22</v>
      </c>
    </row>
    <row r="37" spans="1:7" ht="30.75" customHeight="1" x14ac:dyDescent="0.35">
      <c r="A37" s="376" t="s">
        <v>411</v>
      </c>
      <c r="B37" s="332" t="s">
        <v>309</v>
      </c>
      <c r="C37" s="329"/>
      <c r="D37" s="327" t="s">
        <v>309</v>
      </c>
      <c r="E37" s="324" t="s">
        <v>456</v>
      </c>
      <c r="F37" s="325">
        <v>0.39</v>
      </c>
      <c r="G37" s="346">
        <v>0.31</v>
      </c>
    </row>
    <row r="38" spans="1:7" ht="30.75" customHeight="1" x14ac:dyDescent="0.35">
      <c r="A38" s="375" t="s">
        <v>412</v>
      </c>
      <c r="B38" s="331" t="s">
        <v>309</v>
      </c>
      <c r="C38" s="328"/>
      <c r="D38" s="326" t="s">
        <v>309</v>
      </c>
      <c r="E38" s="322" t="s">
        <v>456</v>
      </c>
      <c r="F38" s="323">
        <v>0.55000000000000004</v>
      </c>
      <c r="G38" s="345">
        <v>0.44</v>
      </c>
    </row>
    <row r="39" spans="1:7" ht="30.75" customHeight="1" x14ac:dyDescent="0.35">
      <c r="A39" s="376" t="s">
        <v>49</v>
      </c>
      <c r="B39" s="332" t="s">
        <v>315</v>
      </c>
      <c r="C39" s="329"/>
      <c r="D39" s="327" t="s">
        <v>315</v>
      </c>
      <c r="E39" s="324" t="s">
        <v>456</v>
      </c>
      <c r="F39" s="325">
        <v>0.49</v>
      </c>
      <c r="G39" s="346">
        <v>0.39</v>
      </c>
    </row>
    <row r="40" spans="1:7" ht="30.75" customHeight="1" x14ac:dyDescent="0.35">
      <c r="A40" s="375" t="s">
        <v>57</v>
      </c>
      <c r="B40" s="331" t="s">
        <v>311</v>
      </c>
      <c r="C40" s="328"/>
      <c r="D40" s="326" t="s">
        <v>311</v>
      </c>
      <c r="E40" s="322" t="s">
        <v>457</v>
      </c>
      <c r="F40" s="323">
        <v>1.23</v>
      </c>
      <c r="G40" s="345">
        <v>0.98</v>
      </c>
    </row>
    <row r="41" spans="1:7" ht="30.75" customHeight="1" x14ac:dyDescent="0.35">
      <c r="A41" s="376" t="s">
        <v>57</v>
      </c>
      <c r="B41" s="332" t="s">
        <v>312</v>
      </c>
      <c r="C41" s="329"/>
      <c r="D41" s="327" t="s">
        <v>312</v>
      </c>
      <c r="E41" s="324" t="s">
        <v>458</v>
      </c>
      <c r="F41" s="325">
        <v>1.61</v>
      </c>
      <c r="G41" s="346">
        <v>1.29</v>
      </c>
    </row>
    <row r="42" spans="1:7" ht="30.75" customHeight="1" x14ac:dyDescent="0.35">
      <c r="A42" s="375" t="s">
        <v>58</v>
      </c>
      <c r="B42" s="331" t="s">
        <v>313</v>
      </c>
      <c r="C42" s="328"/>
      <c r="D42" s="326" t="s">
        <v>313</v>
      </c>
      <c r="E42" s="322" t="s">
        <v>459</v>
      </c>
      <c r="F42" s="323">
        <v>1.85</v>
      </c>
      <c r="G42" s="345">
        <v>1.48</v>
      </c>
    </row>
    <row r="43" spans="1:7" ht="30.75" customHeight="1" x14ac:dyDescent="0.35">
      <c r="A43" s="376" t="s">
        <v>60</v>
      </c>
      <c r="B43" s="332" t="s">
        <v>309</v>
      </c>
      <c r="C43" s="329"/>
      <c r="D43" s="327" t="s">
        <v>309</v>
      </c>
      <c r="E43" s="324" t="s">
        <v>456</v>
      </c>
      <c r="F43" s="325">
        <v>0.55000000000000004</v>
      </c>
      <c r="G43" s="346">
        <v>0.44000000000000006</v>
      </c>
    </row>
    <row r="44" spans="1:7" ht="30.75" customHeight="1" x14ac:dyDescent="0.35">
      <c r="A44" s="375" t="s">
        <v>413</v>
      </c>
      <c r="B44" s="331" t="s">
        <v>309</v>
      </c>
      <c r="C44" s="328"/>
      <c r="D44" s="326" t="s">
        <v>309</v>
      </c>
      <c r="E44" s="322" t="s">
        <v>456</v>
      </c>
      <c r="F44" s="323">
        <v>0.1</v>
      </c>
      <c r="G44" s="345">
        <v>0.08</v>
      </c>
    </row>
    <row r="45" spans="1:7" ht="30.75" customHeight="1" thickBot="1" x14ac:dyDescent="0.4">
      <c r="A45" s="377" t="s">
        <v>414</v>
      </c>
      <c r="B45" s="366" t="s">
        <v>309</v>
      </c>
      <c r="C45" s="367"/>
      <c r="D45" s="368" t="s">
        <v>309</v>
      </c>
      <c r="E45" s="369" t="s">
        <v>456</v>
      </c>
      <c r="F45" s="370">
        <v>0.3</v>
      </c>
      <c r="G45" s="371">
        <v>0.24</v>
      </c>
    </row>
    <row r="46" spans="1:7" x14ac:dyDescent="0.35">
      <c r="A46" s="233"/>
    </row>
    <row r="48" spans="1:7" ht="15" thickBot="1" x14ac:dyDescent="0.4"/>
    <row r="49" spans="1:5" ht="29.5" thickBot="1" x14ac:dyDescent="0.4">
      <c r="A49" s="378" t="s">
        <v>460</v>
      </c>
      <c r="B49" s="379" t="s">
        <v>384</v>
      </c>
      <c r="C49" s="379" t="s">
        <v>385</v>
      </c>
      <c r="D49" s="378" t="s">
        <v>404</v>
      </c>
      <c r="E49" s="380" t="s">
        <v>392</v>
      </c>
    </row>
    <row r="50" spans="1:5" ht="21.75" customHeight="1" x14ac:dyDescent="0.35">
      <c r="A50" s="375" t="s">
        <v>156</v>
      </c>
      <c r="B50" s="384" t="s">
        <v>461</v>
      </c>
      <c r="C50" s="385" t="s">
        <v>386</v>
      </c>
      <c r="D50" s="386" t="s">
        <v>128</v>
      </c>
      <c r="E50" s="388">
        <v>2400</v>
      </c>
    </row>
    <row r="51" spans="1:5" ht="21.75" customHeight="1" x14ac:dyDescent="0.35">
      <c r="A51" s="376" t="s">
        <v>132</v>
      </c>
      <c r="B51" s="381" t="s">
        <v>462</v>
      </c>
      <c r="C51" s="382" t="s">
        <v>221</v>
      </c>
      <c r="D51" s="383" t="s">
        <v>465</v>
      </c>
      <c r="E51" s="387">
        <v>300</v>
      </c>
    </row>
    <row r="52" spans="1:5" ht="21.75" customHeight="1" x14ac:dyDescent="0.35">
      <c r="A52" s="375" t="s">
        <v>131</v>
      </c>
      <c r="B52" s="384" t="s">
        <v>462</v>
      </c>
      <c r="C52" s="385" t="s">
        <v>221</v>
      </c>
      <c r="D52" s="386" t="s">
        <v>465</v>
      </c>
      <c r="E52" s="388">
        <v>500</v>
      </c>
    </row>
    <row r="53" spans="1:5" ht="21.75" customHeight="1" x14ac:dyDescent="0.35">
      <c r="A53" s="376" t="s">
        <v>397</v>
      </c>
      <c r="B53" s="381" t="s">
        <v>461</v>
      </c>
      <c r="C53" s="382" t="s">
        <v>386</v>
      </c>
      <c r="D53" s="383" t="s">
        <v>128</v>
      </c>
      <c r="E53" s="387">
        <v>400</v>
      </c>
    </row>
    <row r="54" spans="1:5" ht="21.75" customHeight="1" x14ac:dyDescent="0.35">
      <c r="A54" s="375" t="s">
        <v>130</v>
      </c>
      <c r="B54" s="384" t="s">
        <v>461</v>
      </c>
      <c r="C54" s="385" t="s">
        <v>386</v>
      </c>
      <c r="D54" s="386" t="s">
        <v>128</v>
      </c>
      <c r="E54" s="388">
        <v>3200</v>
      </c>
    </row>
    <row r="55" spans="1:5" ht="21.75" customHeight="1" x14ac:dyDescent="0.35">
      <c r="A55" s="376" t="s">
        <v>73</v>
      </c>
      <c r="B55" s="381" t="s">
        <v>344</v>
      </c>
      <c r="C55" s="382" t="s">
        <v>389</v>
      </c>
      <c r="D55" s="383" t="s">
        <v>463</v>
      </c>
      <c r="E55" s="387">
        <v>250</v>
      </c>
    </row>
    <row r="56" spans="1:5" ht="21.75" customHeight="1" x14ac:dyDescent="0.35">
      <c r="A56" s="375" t="s">
        <v>72</v>
      </c>
      <c r="B56" s="384" t="s">
        <v>346</v>
      </c>
      <c r="C56" s="385" t="s">
        <v>390</v>
      </c>
      <c r="D56" s="386" t="s">
        <v>464</v>
      </c>
      <c r="E56" s="388">
        <v>250</v>
      </c>
    </row>
    <row r="57" spans="1:5" x14ac:dyDescent="0.35">
      <c r="A57" s="233"/>
      <c r="B57" s="233"/>
      <c r="C57" s="233"/>
      <c r="D57" s="233"/>
      <c r="E57" s="233"/>
    </row>
    <row r="58" spans="1:5" ht="15" thickBot="1" x14ac:dyDescent="0.4">
      <c r="A58" s="233"/>
      <c r="B58" s="233"/>
      <c r="C58" s="233"/>
      <c r="D58" s="233"/>
      <c r="E58" s="233"/>
    </row>
    <row r="59" spans="1:5" ht="15" thickBot="1" x14ac:dyDescent="0.4">
      <c r="A59" s="569" t="s">
        <v>467</v>
      </c>
      <c r="B59" s="570"/>
      <c r="C59" s="233"/>
      <c r="D59" s="233"/>
      <c r="E59" s="233"/>
    </row>
    <row r="60" spans="1:5" ht="39" thickBot="1" x14ac:dyDescent="0.4">
      <c r="A60" s="378" t="s">
        <v>468</v>
      </c>
      <c r="B60" s="379" t="s">
        <v>148</v>
      </c>
    </row>
    <row r="61" spans="1:5" x14ac:dyDescent="0.35">
      <c r="A61" s="375" t="s">
        <v>382</v>
      </c>
      <c r="B61" s="384" t="s">
        <v>420</v>
      </c>
    </row>
    <row r="62" spans="1:5" x14ac:dyDescent="0.35">
      <c r="A62" s="376" t="s">
        <v>9</v>
      </c>
      <c r="B62" s="381" t="s">
        <v>415</v>
      </c>
    </row>
    <row r="63" spans="1:5" x14ac:dyDescent="0.35">
      <c r="A63" s="375" t="s">
        <v>6</v>
      </c>
      <c r="B63" s="384" t="s">
        <v>416</v>
      </c>
    </row>
    <row r="64" spans="1:5" x14ac:dyDescent="0.35">
      <c r="A64" s="376" t="s">
        <v>7</v>
      </c>
      <c r="B64" s="381" t="s">
        <v>417</v>
      </c>
    </row>
    <row r="65" spans="1:2" x14ac:dyDescent="0.35">
      <c r="A65" s="375" t="s">
        <v>8</v>
      </c>
      <c r="B65" s="384" t="s">
        <v>418</v>
      </c>
    </row>
    <row r="66" spans="1:2" x14ac:dyDescent="0.35">
      <c r="A66" s="376" t="s">
        <v>466</v>
      </c>
      <c r="B66" s="381" t="s">
        <v>419</v>
      </c>
    </row>
  </sheetData>
  <sortState xmlns:xlrd2="http://schemas.microsoft.com/office/spreadsheetml/2017/richdata2" ref="A50:E56">
    <sortCondition ref="A50:A56"/>
  </sortState>
  <mergeCells count="2">
    <mergeCell ref="D1:E1"/>
    <mergeCell ref="A59:B5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Data</vt:lpstr>
      <vt:lpstr>Worksheet</vt:lpstr>
      <vt:lpstr>Exposure</vt:lpstr>
      <vt:lpstr>Price Change List</vt:lpstr>
      <vt:lpstr>Karan POMRC</vt:lpstr>
      <vt:lpstr>Modeling</vt:lpstr>
      <vt:lpstr>Corteva Rewards</vt:lpstr>
      <vt:lpstr>Annette's with Crew</vt:lpstr>
      <vt:lpstr>Annette's for Detailer</vt:lpstr>
      <vt:lpstr>Calculator</vt:lpstr>
      <vt:lpstr>Matching Calc</vt:lpstr>
      <vt:lpstr>EOP_QTY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Bruner, Phillip</dc:creator>
  <cp:lastModifiedBy>Monko, Jennifer</cp:lastModifiedBy>
  <cp:lastPrinted>2019-08-14T13:42:55Z</cp:lastPrinted>
  <dcterms:created xsi:type="dcterms:W3CDTF">2019-03-28T03:03:07Z</dcterms:created>
  <dcterms:modified xsi:type="dcterms:W3CDTF">2019-08-28T05:25:28Z</dcterms:modified>
</cp:coreProperties>
</file>