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envu-my.sharepoint.com/personal/michael_miracle_envu_com/Documents/Programs/2023 EOP/"/>
    </mc:Choice>
  </mc:AlternateContent>
  <xr:revisionPtr revIDLastSave="3" documentId="8_{F56FE3E6-CE94-4737-93BF-993B3BAC4A26}" xr6:coauthVersionLast="47" xr6:coauthVersionMax="47" xr10:uidLastSave="{B69FF118-D9AD-4DC6-A263-D74FAC61C672}"/>
  <workbookProtection workbookAlgorithmName="SHA-512" workbookHashValue="lwz9pF6nF/xopieEK3Y+RjwGFicwUIq9F6vRhbkuiQRZzu1NpAInYJinRMjx06vET6xSu5KEOt7sbRsZ4UeosQ==" workbookSaltValue="UnkDCB2SXUNoqB6RTeLg4Q==" workbookSpinCount="100000" lockStructure="1"/>
  <bookViews>
    <workbookView xWindow="5640" yWindow="1425" windowWidth="25005" windowHeight="18420" xr2:uid="{47E820C8-F8DF-412E-8B73-FB77A2B9CF60}"/>
  </bookViews>
  <sheets>
    <sheet name="2023 FALL-CALCULATOR" sheetId="1" r:id="rId1"/>
    <sheet name="PRINTABLE SUMMARY" sheetId="3" r:id="rId2"/>
    <sheet name="PAIRING DETAILS" sheetId="8" r:id="rId3"/>
    <sheet name="Dropdown" sheetId="9" state="hidden" r:id="rId4"/>
  </sheets>
  <definedNames>
    <definedName name="California_Header">#REF!</definedName>
    <definedName name="California_ProductForm">#REF!</definedName>
    <definedName name="California_Summary">#REF!</definedName>
    <definedName name="National_Header">'2023 FALL-CALCULATOR'!$D$2:$F$7</definedName>
    <definedName name="National_ProductForm">'2023 FALL-CALCULATOR'!$D$12:$AA$60</definedName>
    <definedName name="National_Summary">'2023 FALL-CALCULATOR'!$D$61:$G$74</definedName>
    <definedName name="NYNassauSuffolk_Header">#REF!</definedName>
    <definedName name="NYNassauSuffolk_ProductForm">#REF!</definedName>
    <definedName name="NYNassauSuffolk_Summary">#REF!</definedName>
    <definedName name="Washington_Header">#REF!</definedName>
    <definedName name="Washington_ProductForm">#REF!</definedName>
    <definedName name="Washington_Summa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8" i="1" l="1"/>
  <c r="N59" i="1"/>
  <c r="AA49" i="1" l="1"/>
  <c r="AA50" i="1"/>
  <c r="AA51" i="1"/>
  <c r="AA52" i="1"/>
  <c r="AA53" i="1"/>
  <c r="AA54" i="1"/>
  <c r="AA55" i="1"/>
  <c r="AA56" i="1"/>
  <c r="AA57" i="1"/>
  <c r="AA58" i="1"/>
  <c r="AA59" i="1"/>
  <c r="Q51" i="1"/>
  <c r="I48" i="1" l="1"/>
  <c r="I46" i="1"/>
  <c r="S20" i="1"/>
  <c r="S19" i="1"/>
  <c r="S18" i="1"/>
  <c r="S16" i="1"/>
  <c r="S17" i="1"/>
  <c r="S41" i="1"/>
  <c r="S42" i="1"/>
  <c r="Q17" i="1"/>
  <c r="S54" i="1"/>
  <c r="S58" i="1"/>
  <c r="L16" i="1"/>
  <c r="S35" i="1"/>
  <c r="S36" i="1"/>
  <c r="D52" i="3"/>
  <c r="D53" i="3"/>
  <c r="D54" i="3"/>
  <c r="D55" i="3"/>
  <c r="D56" i="3"/>
  <c r="D57" i="3"/>
  <c r="D58" i="3"/>
  <c r="D59" i="3"/>
  <c r="D60" i="3"/>
  <c r="D61" i="3"/>
  <c r="D62" i="3"/>
  <c r="D51" i="3"/>
  <c r="C52" i="3"/>
  <c r="C53" i="3"/>
  <c r="C54" i="3"/>
  <c r="C55" i="3"/>
  <c r="C56" i="3"/>
  <c r="C57" i="3"/>
  <c r="C58" i="3"/>
  <c r="C59" i="3"/>
  <c r="C60" i="3"/>
  <c r="C61" i="3"/>
  <c r="C62" i="3"/>
  <c r="K40" i="1" l="1"/>
  <c r="M59" i="1"/>
  <c r="L59" i="1"/>
  <c r="M58" i="1"/>
  <c r="L58" i="1"/>
  <c r="M57" i="1"/>
  <c r="L57" i="1"/>
  <c r="M56" i="1"/>
  <c r="L56" i="1"/>
  <c r="M55" i="1"/>
  <c r="L55" i="1"/>
  <c r="M54" i="1"/>
  <c r="L54" i="1"/>
  <c r="M53" i="1"/>
  <c r="L53" i="1"/>
  <c r="M52" i="1"/>
  <c r="L52" i="1"/>
  <c r="M51" i="1"/>
  <c r="L51" i="1"/>
  <c r="M50" i="1"/>
  <c r="L50" i="1"/>
  <c r="M49" i="1"/>
  <c r="L49" i="1"/>
  <c r="M48" i="1"/>
  <c r="L48" i="1"/>
  <c r="G66" i="8"/>
  <c r="G65" i="8"/>
  <c r="G57" i="8"/>
  <c r="G56" i="8"/>
  <c r="G48" i="8"/>
  <c r="G49" i="8"/>
  <c r="G41" i="8"/>
  <c r="G40" i="8"/>
  <c r="G33" i="8"/>
  <c r="G32" i="8"/>
  <c r="Q59" i="1"/>
  <c r="Q58" i="1"/>
  <c r="S57" i="1"/>
  <c r="S56" i="1"/>
  <c r="S55" i="1"/>
  <c r="S53" i="1"/>
  <c r="S52" i="1"/>
  <c r="S50" i="1"/>
  <c r="S49" i="1"/>
  <c r="S48" i="1" l="1"/>
  <c r="S45" i="1"/>
  <c r="S44" i="1"/>
  <c r="S43" i="1"/>
  <c r="S38" i="1"/>
  <c r="S37" i="1"/>
  <c r="S34" i="1"/>
  <c r="S33" i="1"/>
  <c r="S32" i="1"/>
  <c r="S23" i="1"/>
  <c r="S22" i="1"/>
  <c r="Q57" i="1"/>
  <c r="R56" i="1"/>
  <c r="R55" i="1"/>
  <c r="R54" i="1"/>
  <c r="R53" i="1"/>
  <c r="R52" i="1"/>
  <c r="R50" i="1"/>
  <c r="Q49" i="1"/>
  <c r="R48" i="1"/>
  <c r="R45" i="1"/>
  <c r="R44" i="1"/>
  <c r="R43" i="1"/>
  <c r="R38" i="1"/>
  <c r="R37" i="1"/>
  <c r="R36" i="1"/>
  <c r="R35" i="1"/>
  <c r="Q34" i="1"/>
  <c r="Q33" i="1"/>
  <c r="Q32" i="1"/>
  <c r="R28" i="1"/>
  <c r="S28" i="1" s="1"/>
  <c r="R23" i="1"/>
  <c r="R22" i="1"/>
  <c r="Q20" i="1"/>
  <c r="R18" i="1"/>
  <c r="C51" i="3" l="1"/>
  <c r="K48" i="1"/>
  <c r="E51" i="3" s="1"/>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13" i="3"/>
  <c r="M16" i="1"/>
  <c r="K16" i="1"/>
  <c r="M17" i="1"/>
  <c r="L17" i="1"/>
  <c r="K17" i="1"/>
  <c r="L18" i="1"/>
  <c r="K18" i="1"/>
  <c r="L19" i="1"/>
  <c r="K19" i="1"/>
  <c r="M20" i="1"/>
  <c r="L20" i="1"/>
  <c r="K20" i="1"/>
  <c r="E17" i="3" s="1"/>
  <c r="L21" i="1"/>
  <c r="K21" i="1"/>
  <c r="E18" i="3" s="1"/>
  <c r="L22" i="1"/>
  <c r="K22" i="1"/>
  <c r="M23" i="1"/>
  <c r="L23" i="1"/>
  <c r="K23" i="1"/>
  <c r="E20" i="3" s="1"/>
  <c r="M24" i="1"/>
  <c r="L24" i="1"/>
  <c r="K24" i="1"/>
  <c r="E21" i="3" s="1"/>
  <c r="M25" i="1"/>
  <c r="L25" i="1"/>
  <c r="K25" i="1"/>
  <c r="E22" i="3" s="1"/>
  <c r="M26" i="1"/>
  <c r="L26" i="1"/>
  <c r="K26" i="1"/>
  <c r="L27" i="1"/>
  <c r="K27" i="1"/>
  <c r="E24" i="3" s="1"/>
  <c r="M28" i="1"/>
  <c r="L28" i="1"/>
  <c r="K28" i="1"/>
  <c r="E25" i="3" s="1"/>
  <c r="M30" i="1"/>
  <c r="L30" i="1"/>
  <c r="K30" i="1"/>
  <c r="E27" i="3" s="1"/>
  <c r="M31" i="1"/>
  <c r="L31" i="1"/>
  <c r="K31" i="1"/>
  <c r="E28" i="3" s="1"/>
  <c r="M32" i="1"/>
  <c r="L32" i="1"/>
  <c r="K32" i="1"/>
  <c r="E29" i="3" s="1"/>
  <c r="M33" i="1"/>
  <c r="L33" i="1"/>
  <c r="K33" i="1"/>
  <c r="E30" i="3" s="1"/>
  <c r="M34" i="1"/>
  <c r="L34" i="1"/>
  <c r="K34" i="1"/>
  <c r="E31" i="3" s="1"/>
  <c r="M35" i="1"/>
  <c r="L35" i="1"/>
  <c r="K35" i="1"/>
  <c r="L36" i="1"/>
  <c r="K36" i="1"/>
  <c r="E33" i="3" s="1"/>
  <c r="M37" i="1"/>
  <c r="L37" i="1"/>
  <c r="K37" i="1"/>
  <c r="E34" i="3" s="1"/>
  <c r="L38" i="1"/>
  <c r="K38" i="1"/>
  <c r="E35" i="3" s="1"/>
  <c r="M39" i="1"/>
  <c r="L39" i="1"/>
  <c r="K39" i="1"/>
  <c r="M40" i="1"/>
  <c r="L40" i="1"/>
  <c r="E37" i="3"/>
  <c r="M41" i="1"/>
  <c r="L41" i="1"/>
  <c r="K41" i="1"/>
  <c r="E38" i="3" s="1"/>
  <c r="L46" i="1"/>
  <c r="K46" i="1"/>
  <c r="E43" i="3" s="1"/>
  <c r="M45" i="1"/>
  <c r="L45" i="1"/>
  <c r="K45" i="1"/>
  <c r="E42" i="3" s="1"/>
  <c r="M42" i="1"/>
  <c r="L42" i="1"/>
  <c r="K42" i="1"/>
  <c r="E39" i="3" s="1"/>
  <c r="M43" i="1"/>
  <c r="L43" i="1"/>
  <c r="K43" i="1"/>
  <c r="K44" i="1"/>
  <c r="E41" i="3" s="1"/>
  <c r="L44" i="1"/>
  <c r="M44" i="1"/>
  <c r="Z47" i="1"/>
  <c r="AA47" i="1"/>
  <c r="K51" i="1"/>
  <c r="E54" i="3" s="1"/>
  <c r="K50" i="1"/>
  <c r="E53" i="3" s="1"/>
  <c r="K49" i="1"/>
  <c r="E52" i="3" s="1"/>
  <c r="AA37" i="1"/>
  <c r="AA35" i="1"/>
  <c r="AA22" i="1"/>
  <c r="AA23" i="1"/>
  <c r="W22" i="1"/>
  <c r="M22" i="1" s="1"/>
  <c r="W21" i="1"/>
  <c r="M21" i="1" s="1"/>
  <c r="AA20" i="1"/>
  <c r="AA38" i="1"/>
  <c r="AA36" i="1"/>
  <c r="AA18" i="1"/>
  <c r="W38" i="1"/>
  <c r="M38" i="1" s="1"/>
  <c r="W36" i="1"/>
  <c r="M36" i="1" s="1"/>
  <c r="W18" i="1"/>
  <c r="M18" i="1" s="1"/>
  <c r="AA17" i="1"/>
  <c r="AA16" i="1"/>
  <c r="K52" i="1"/>
  <c r="E55" i="3" s="1"/>
  <c r="K53" i="1"/>
  <c r="E56" i="3" s="1"/>
  <c r="K54" i="1"/>
  <c r="E57" i="3" s="1"/>
  <c r="K55" i="1"/>
  <c r="E58" i="3" s="1"/>
  <c r="K56" i="1"/>
  <c r="E59" i="3" s="1"/>
  <c r="K57" i="1"/>
  <c r="E60" i="3" s="1"/>
  <c r="K58" i="1"/>
  <c r="E61" i="3" s="1"/>
  <c r="K59" i="1"/>
  <c r="K29" i="1"/>
  <c r="E26" i="3" s="1"/>
  <c r="I49" i="1"/>
  <c r="I50" i="1"/>
  <c r="I51" i="1"/>
  <c r="I52" i="1"/>
  <c r="I53" i="1"/>
  <c r="I54" i="1"/>
  <c r="I55" i="1"/>
  <c r="I56" i="1"/>
  <c r="I57" i="1"/>
  <c r="I58" i="1"/>
  <c r="I59" i="1"/>
  <c r="I17" i="1"/>
  <c r="I18" i="1"/>
  <c r="I19" i="1"/>
  <c r="I20" i="1"/>
  <c r="I21" i="1"/>
  <c r="I22" i="1"/>
  <c r="I23" i="1"/>
  <c r="I24" i="1"/>
  <c r="I25" i="1"/>
  <c r="I26" i="1"/>
  <c r="I27" i="1"/>
  <c r="I28" i="1"/>
  <c r="I29" i="1"/>
  <c r="I30" i="1"/>
  <c r="I31" i="1"/>
  <c r="I32" i="1"/>
  <c r="N32" i="1" s="1"/>
  <c r="I33" i="1"/>
  <c r="N33" i="1" s="1"/>
  <c r="I34" i="1"/>
  <c r="N34" i="1" s="1"/>
  <c r="I35" i="1"/>
  <c r="I36" i="1"/>
  <c r="I37" i="1"/>
  <c r="I38" i="1"/>
  <c r="I39" i="1"/>
  <c r="N39" i="1" s="1"/>
  <c r="I40" i="1"/>
  <c r="N40" i="1" s="1"/>
  <c r="I41" i="1"/>
  <c r="N41" i="1" s="1"/>
  <c r="I42" i="1"/>
  <c r="I43" i="1"/>
  <c r="I44" i="1"/>
  <c r="I45" i="1"/>
  <c r="I16" i="1"/>
  <c r="AA45" i="1"/>
  <c r="AA28" i="1"/>
  <c r="AA34" i="1"/>
  <c r="AA33" i="1"/>
  <c r="AA32" i="1"/>
  <c r="AA44" i="1"/>
  <c r="AA43" i="1"/>
  <c r="Q19" i="1"/>
  <c r="AA29" i="1"/>
  <c r="W19" i="1"/>
  <c r="M19" i="1" s="1"/>
  <c r="AA25" i="1"/>
  <c r="AA27" i="1"/>
  <c r="E62" i="3" l="1"/>
  <c r="K60" i="1"/>
  <c r="E13" i="3"/>
  <c r="I60" i="1"/>
  <c r="G65" i="1" s="1"/>
  <c r="E14" i="3"/>
  <c r="E19" i="3"/>
  <c r="E23" i="3"/>
  <c r="O41" i="1"/>
  <c r="F38" i="3" s="1"/>
  <c r="E15" i="3"/>
  <c r="O33" i="1"/>
  <c r="E40" i="3"/>
  <c r="O40" i="1"/>
  <c r="F37" i="3" s="1"/>
  <c r="O39" i="1"/>
  <c r="F36" i="3" s="1"/>
  <c r="E32" i="3"/>
  <c r="O34" i="1"/>
  <c r="O32" i="1"/>
  <c r="E36" i="3"/>
  <c r="O59" i="1"/>
  <c r="F62" i="3" s="1"/>
  <c r="E16" i="3"/>
  <c r="G17" i="8"/>
  <c r="G16" i="8"/>
  <c r="G9" i="8"/>
  <c r="G8" i="8"/>
  <c r="L29" i="1"/>
  <c r="L60" i="1" s="1"/>
  <c r="N2" i="1"/>
  <c r="W46" i="1"/>
  <c r="M46" i="1" s="1"/>
  <c r="W27" i="1"/>
  <c r="M27" i="1" s="1"/>
  <c r="W29" i="1"/>
  <c r="M29" i="1" s="1"/>
  <c r="B6" i="3"/>
  <c r="B7" i="3"/>
  <c r="B4" i="3"/>
  <c r="B5" i="3"/>
  <c r="B3" i="3"/>
  <c r="AA30" i="1"/>
  <c r="R30" i="1"/>
  <c r="S30" i="1" s="1"/>
  <c r="AA26" i="1"/>
  <c r="AA31" i="1"/>
  <c r="AA39" i="1"/>
  <c r="AA40" i="1"/>
  <c r="AA41" i="1"/>
  <c r="AA42" i="1"/>
  <c r="AA46" i="1"/>
  <c r="AA19" i="1"/>
  <c r="AA21" i="1"/>
  <c r="AA24" i="1"/>
  <c r="P41" i="1" l="1"/>
  <c r="AA60" i="1"/>
  <c r="Z60" i="1" s="1"/>
  <c r="M60" i="1"/>
  <c r="P40" i="1"/>
  <c r="P39" i="1"/>
  <c r="F30" i="3"/>
  <c r="P33" i="1"/>
  <c r="F31" i="3"/>
  <c r="P34" i="1"/>
  <c r="F29" i="3"/>
  <c r="P32" i="1"/>
  <c r="P59" i="1"/>
  <c r="L12" i="1" l="1"/>
  <c r="Z57" i="1"/>
  <c r="Z55" i="1" l="1"/>
  <c r="Z56" i="1"/>
  <c r="Z53" i="1"/>
  <c r="Z54" i="1"/>
  <c r="Z50" i="1"/>
  <c r="Z52" i="1"/>
  <c r="Z28" i="1"/>
  <c r="Z49" i="1"/>
  <c r="Z46" i="1"/>
  <c r="Z42" i="1"/>
  <c r="Z30" i="1"/>
  <c r="Z29" i="1"/>
  <c r="Z31" i="1"/>
  <c r="Z26" i="1"/>
  <c r="Z43" i="1"/>
  <c r="Z23" i="1"/>
  <c r="Y38" i="1"/>
  <c r="Y21" i="1"/>
  <c r="Y29" i="1"/>
  <c r="Y53" i="1"/>
  <c r="Y44" i="1"/>
  <c r="Y55" i="1"/>
  <c r="Y35" i="1"/>
  <c r="Y47" i="1"/>
  <c r="Y25" i="1"/>
  <c r="Y57" i="1"/>
  <c r="N57" i="1" s="1"/>
  <c r="Y26" i="1"/>
  <c r="Y27" i="1"/>
  <c r="Y28" i="1"/>
  <c r="Y37" i="1"/>
  <c r="Y22" i="1"/>
  <c r="Y30" i="1"/>
  <c r="Y54" i="1"/>
  <c r="Y45" i="1"/>
  <c r="Y23" i="1"/>
  <c r="Y46" i="1"/>
  <c r="Y16" i="1"/>
  <c r="Y49" i="1"/>
  <c r="Y18" i="1"/>
  <c r="Y50" i="1"/>
  <c r="Y19" i="1"/>
  <c r="Y42" i="1"/>
  <c r="Y52" i="1"/>
  <c r="Y36" i="1"/>
  <c r="Y31" i="1"/>
  <c r="Y24" i="1"/>
  <c r="Y56" i="1"/>
  <c r="Y17" i="1"/>
  <c r="Y48" i="1"/>
  <c r="Y58" i="1"/>
  <c r="Y51" i="1"/>
  <c r="Y20" i="1"/>
  <c r="Y43" i="1"/>
  <c r="N15" i="1"/>
  <c r="Z51" i="1"/>
  <c r="Z58" i="1"/>
  <c r="Z45" i="1"/>
  <c r="Z48" i="1"/>
  <c r="Z44" i="1"/>
  <c r="Z37" i="1"/>
  <c r="Z25" i="1"/>
  <c r="Z35" i="1"/>
  <c r="Z27" i="1"/>
  <c r="Z21" i="1"/>
  <c r="Z22" i="1"/>
  <c r="Z20" i="1"/>
  <c r="Z38" i="1"/>
  <c r="Z18" i="1"/>
  <c r="Z36" i="1"/>
  <c r="Z24" i="1"/>
  <c r="Z17" i="1"/>
  <c r="Z16" i="1"/>
  <c r="Z19" i="1"/>
  <c r="N50" i="1" l="1"/>
  <c r="N48" i="1"/>
  <c r="N56" i="1"/>
  <c r="N49" i="1"/>
  <c r="N53" i="1"/>
  <c r="N55" i="1"/>
  <c r="O48" i="1"/>
  <c r="N51" i="1"/>
  <c r="N58" i="1"/>
  <c r="N52" i="1"/>
  <c r="N54" i="1"/>
  <c r="O57" i="1"/>
  <c r="F60" i="3" s="1"/>
  <c r="N42" i="1"/>
  <c r="O42" i="1" s="1"/>
  <c r="P42" i="1" s="1"/>
  <c r="O51" i="1"/>
  <c r="F54" i="3" s="1"/>
  <c r="N31" i="1"/>
  <c r="O31" i="1" s="1"/>
  <c r="F28" i="3" s="1"/>
  <c r="N16" i="1"/>
  <c r="O16" i="1" s="1"/>
  <c r="P16" i="1" s="1"/>
  <c r="O56" i="1"/>
  <c r="F59" i="3" s="1"/>
  <c r="O55" i="1"/>
  <c r="F58" i="3" s="1"/>
  <c r="O53" i="1"/>
  <c r="F56" i="3" s="1"/>
  <c r="O54" i="1"/>
  <c r="F57" i="3" s="1"/>
  <c r="P57" i="1"/>
  <c r="O52" i="1"/>
  <c r="O49" i="1"/>
  <c r="F52" i="3" s="1"/>
  <c r="O50" i="1"/>
  <c r="F53" i="3" s="1"/>
  <c r="N28" i="1"/>
  <c r="O28" i="1" s="1"/>
  <c r="F25" i="3" s="1"/>
  <c r="N30" i="1"/>
  <c r="O30" i="1" s="1"/>
  <c r="F27" i="3" s="1"/>
  <c r="N46" i="1"/>
  <c r="O46" i="1" s="1"/>
  <c r="P46" i="1" s="1"/>
  <c r="N29" i="1"/>
  <c r="N26" i="1"/>
  <c r="O26" i="1" s="1"/>
  <c r="F23" i="3" s="1"/>
  <c r="N23" i="1"/>
  <c r="O23" i="1" s="1"/>
  <c r="F20" i="3" s="1"/>
  <c r="N43" i="1"/>
  <c r="O43" i="1" s="1"/>
  <c r="F40" i="3" s="1"/>
  <c r="O58" i="1"/>
  <c r="F61" i="3" s="1"/>
  <c r="N17" i="1"/>
  <c r="O17" i="1" s="1"/>
  <c r="F14" i="3" s="1"/>
  <c r="N25" i="1"/>
  <c r="O25" i="1" s="1"/>
  <c r="N44" i="1"/>
  <c r="O44" i="1" s="1"/>
  <c r="F41" i="3" s="1"/>
  <c r="N18" i="1"/>
  <c r="O18" i="1" s="1"/>
  <c r="N22" i="1"/>
  <c r="O22" i="1" s="1"/>
  <c r="N36" i="1"/>
  <c r="O36" i="1" s="1"/>
  <c r="N37" i="1"/>
  <c r="O37" i="1" s="1"/>
  <c r="N38" i="1"/>
  <c r="O38" i="1" s="1"/>
  <c r="N35" i="1"/>
  <c r="O35" i="1" s="1"/>
  <c r="N24" i="1"/>
  <c r="O24" i="1" s="1"/>
  <c r="N45" i="1"/>
  <c r="O45" i="1" s="1"/>
  <c r="N19" i="1"/>
  <c r="O19" i="1" s="1"/>
  <c r="N20" i="1"/>
  <c r="O20" i="1" s="1"/>
  <c r="N27" i="1"/>
  <c r="O27" i="1" s="1"/>
  <c r="N21" i="1"/>
  <c r="O21" i="1" s="1"/>
  <c r="Q46" i="1"/>
  <c r="Q42" i="1"/>
  <c r="Q31" i="1"/>
  <c r="Q41" i="1"/>
  <c r="Q40" i="1"/>
  <c r="Q39" i="1"/>
  <c r="Q25" i="1"/>
  <c r="Q24" i="1"/>
  <c r="F39" i="3" l="1"/>
  <c r="P56" i="1"/>
  <c r="P55" i="1"/>
  <c r="P31" i="1"/>
  <c r="N60" i="1"/>
  <c r="P52" i="1"/>
  <c r="F55" i="3"/>
  <c r="P53" i="1"/>
  <c r="P54" i="1"/>
  <c r="P58" i="1"/>
  <c r="P49" i="1"/>
  <c r="P28" i="1"/>
  <c r="P50" i="1"/>
  <c r="P51" i="1"/>
  <c r="P30" i="1"/>
  <c r="F43" i="3"/>
  <c r="P26" i="1"/>
  <c r="P23" i="1"/>
  <c r="P17" i="1"/>
  <c r="P43" i="1"/>
  <c r="F35" i="3"/>
  <c r="P38" i="1"/>
  <c r="F15" i="3"/>
  <c r="P18" i="1"/>
  <c r="F24" i="3"/>
  <c r="P27" i="1"/>
  <c r="F22" i="3"/>
  <c r="P25" i="1"/>
  <c r="F21" i="3"/>
  <c r="P24" i="1"/>
  <c r="F19" i="3"/>
  <c r="P22" i="1"/>
  <c r="F18" i="3"/>
  <c r="P21" i="1"/>
  <c r="F17" i="3"/>
  <c r="P20" i="1"/>
  <c r="P44" i="1"/>
  <c r="F34" i="3"/>
  <c r="P37" i="1"/>
  <c r="F33" i="3"/>
  <c r="P36" i="1"/>
  <c r="F32" i="3"/>
  <c r="P35" i="1"/>
  <c r="F51" i="3"/>
  <c r="P48" i="1"/>
  <c r="F16" i="3"/>
  <c r="P19" i="1"/>
  <c r="P45" i="1"/>
  <c r="F42" i="3"/>
  <c r="E63" i="3"/>
  <c r="O29" i="1"/>
  <c r="F26" i="3" s="1"/>
  <c r="F13" i="3" l="1"/>
  <c r="P29" i="1"/>
  <c r="P60" i="1" s="1"/>
  <c r="G68" i="1" l="1"/>
  <c r="G69" i="1" s="1"/>
  <c r="G67" i="1"/>
  <c r="G66" i="1" s="1"/>
  <c r="A2" i="3"/>
  <c r="G70" i="1" l="1"/>
  <c r="G71" i="1"/>
  <c r="E71" i="3"/>
  <c r="S46" i="1"/>
  <c r="S40" i="1" l="1"/>
  <c r="S39" i="1"/>
  <c r="S31" i="1"/>
  <c r="R29" i="1"/>
  <c r="S29" i="1" s="1"/>
  <c r="R27" i="1"/>
  <c r="S27" i="1" s="1"/>
  <c r="R26" i="1"/>
  <c r="S26" i="1" s="1"/>
  <c r="S25" i="1"/>
  <c r="G73" i="1" l="1"/>
  <c r="G72" i="1"/>
  <c r="E75" i="3" s="1"/>
  <c r="E68" i="3"/>
  <c r="D74" i="1"/>
  <c r="E72" i="3" l="1"/>
  <c r="A77" i="3" s="1"/>
  <c r="E73" i="3" l="1"/>
  <c r="E69" i="3"/>
  <c r="E74" i="3"/>
  <c r="E70" i="3" l="1"/>
  <c r="E76" i="3"/>
  <c r="S24" i="1" l="1"/>
  <c r="S59" i="1" l="1"/>
  <c r="R21" i="1" l="1"/>
  <c r="S21" i="1" s="1"/>
  <c r="Q16" i="1"/>
  <c r="S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Ford</author>
    <author>Robert McNamara</author>
    <author>stage.maverick.bayer.us</author>
  </authors>
  <commentList>
    <comment ref="G18" authorId="0" shapeId="0" xr:uid="{0DD3E202-C980-4DCE-9888-FECD14080502}">
      <text>
        <r>
          <rPr>
            <b/>
            <sz val="9"/>
            <color indexed="81"/>
            <rFont val="Tahoma"/>
            <family val="2"/>
          </rPr>
          <t xml:space="preserve">Rebate Finder
</t>
        </r>
        <r>
          <rPr>
            <sz val="9"/>
            <color indexed="81"/>
            <rFont val="Tahoma"/>
            <family val="2"/>
          </rPr>
          <t>Note: To qualify for this item's select rebate of $45, you must add minimum of 4 units. Pair 4+ with 12+ Signature or 24+ Signature XTRA for an additional $45 rebate per unit</t>
        </r>
        <r>
          <rPr>
            <sz val="9"/>
            <color indexed="81"/>
            <rFont val="Tahoma"/>
            <family val="2"/>
          </rPr>
          <t xml:space="preserve">
</t>
        </r>
      </text>
    </comment>
    <comment ref="G19" authorId="1" shapeId="0" xr:uid="{7FB94FF1-8524-4867-86E9-B6929CCCED2D}">
      <text>
        <r>
          <rPr>
            <b/>
            <u/>
            <sz val="9"/>
            <color indexed="81"/>
            <rFont val="Tahoma"/>
            <family val="2"/>
          </rPr>
          <t>Rebate Finder</t>
        </r>
        <r>
          <rPr>
            <b/>
            <sz val="9"/>
            <color indexed="81"/>
            <rFont val="Tahoma"/>
            <family val="2"/>
          </rPr>
          <t xml:space="preserve">
</t>
        </r>
        <r>
          <rPr>
            <sz val="9"/>
            <color indexed="81"/>
            <rFont val="Tahoma"/>
            <family val="2"/>
          </rPr>
          <t xml:space="preserve">Note: To qualify for this item's select rebate of $5, you must add minimum of 16 units. Pair 16+ with 2+ Specticle for an additional $5 rebate per unit
</t>
        </r>
      </text>
    </comment>
    <comment ref="G20" authorId="0" shapeId="0" xr:uid="{30482D81-9FF7-4EF2-89EC-1DB2ECA4B702}">
      <text>
        <r>
          <rPr>
            <b/>
            <sz val="9"/>
            <color indexed="81"/>
            <rFont val="Tahoma"/>
            <family val="2"/>
          </rPr>
          <t xml:space="preserve">Rebate Finder
</t>
        </r>
        <r>
          <rPr>
            <sz val="9"/>
            <color indexed="81"/>
            <rFont val="Tahoma"/>
            <family val="2"/>
          </rPr>
          <t>Note: To qualify for this item's select rebate of $5, you must add minimum of 8 units.</t>
        </r>
      </text>
    </comment>
    <comment ref="G21" authorId="0" shapeId="0" xr:uid="{3A55F143-0218-4DB5-A825-7BDD41F423C4}">
      <text>
        <r>
          <rPr>
            <b/>
            <sz val="9"/>
            <color indexed="81"/>
            <rFont val="Tahoma"/>
            <family val="2"/>
          </rPr>
          <t xml:space="preserve">Rebate Finder
</t>
        </r>
        <r>
          <rPr>
            <sz val="9"/>
            <color indexed="81"/>
            <rFont val="Tahoma"/>
            <family val="2"/>
          </rPr>
          <t>Note: To qualify for this item's pairing rebate of $30, you must add minimum of 4 units and pair with 12+ units of Exteris</t>
        </r>
      </text>
    </comment>
    <comment ref="G22" authorId="0" shapeId="0" xr:uid="{8C890B4A-02BB-4829-ACC9-93B99220F597}">
      <text>
        <r>
          <rPr>
            <b/>
            <sz val="9"/>
            <color indexed="81"/>
            <rFont val="Tahoma"/>
            <family val="2"/>
          </rPr>
          <t xml:space="preserve">Rebate Finder
</t>
        </r>
        <r>
          <rPr>
            <sz val="9"/>
            <color indexed="81"/>
            <rFont val="Tahoma"/>
            <family val="2"/>
          </rPr>
          <t>Note: To qualify for this item's pairing rebate of $47, you must add minimum of 12 units and pair with 4+ units of Densicor</t>
        </r>
      </text>
    </comment>
    <comment ref="G23" authorId="0" shapeId="0" xr:uid="{F60CE812-F28B-4F31-953F-9D654252F32A}">
      <text>
        <r>
          <rPr>
            <b/>
            <sz val="9"/>
            <color indexed="81"/>
            <rFont val="Tahoma"/>
            <family val="2"/>
          </rPr>
          <t xml:space="preserve">Rebate Finder
</t>
        </r>
        <r>
          <rPr>
            <sz val="9"/>
            <color indexed="81"/>
            <rFont val="Tahoma"/>
            <family val="2"/>
          </rPr>
          <t>Note: To qualify for this item's select rebate of $8, you must add minimum of 10 units.</t>
        </r>
      </text>
    </comment>
    <comment ref="G27" authorId="2" shapeId="0" xr:uid="{65E1CC27-4E31-46B3-B08A-246A0E1C5246}">
      <text>
        <r>
          <rPr>
            <b/>
            <sz val="11"/>
            <color rgb="FF000000"/>
            <rFont val="Calibri"/>
            <family val="2"/>
          </rPr>
          <t>Rebate Finder</t>
        </r>
        <r>
          <rPr>
            <sz val="11"/>
            <color rgb="FF000000"/>
            <rFont val="Calibri"/>
            <family val="2"/>
          </rPr>
          <t xml:space="preserve">
Note: To qualify for this item's select rebate of $25, you must add minimum of 6 units. Pair 6+ units with 2 units of Mirage for an additional rebate of $21 per bottle.</t>
        </r>
      </text>
    </comment>
    <comment ref="G29" authorId="2" shapeId="0" xr:uid="{D7961BA6-38F0-4AAE-B7F6-660A1E8E77F1}">
      <text>
        <r>
          <rPr>
            <b/>
            <u/>
            <sz val="9"/>
            <color rgb="FF000000"/>
            <rFont val="Tahoma"/>
            <family val="2"/>
          </rPr>
          <t>Rebate Finder</t>
        </r>
        <r>
          <rPr>
            <sz val="9"/>
            <color rgb="FF000000"/>
            <rFont val="Tahoma"/>
            <family val="2"/>
          </rPr>
          <t xml:space="preserve">
Note: Pair 2+ units with 6+ units of Interface to receive a $26 rebate per unit of Mirage.</t>
        </r>
      </text>
    </comment>
    <comment ref="G30" authorId="0" shapeId="0" xr:uid="{E99241E6-C221-4BCB-9F87-F629B6AD2DE1}">
      <text>
        <r>
          <rPr>
            <b/>
            <sz val="9"/>
            <color indexed="81"/>
            <rFont val="Tahoma"/>
            <family val="2"/>
          </rPr>
          <t xml:space="preserve">Rebate Finder
</t>
        </r>
        <r>
          <rPr>
            <sz val="9"/>
            <color indexed="81"/>
            <rFont val="Tahoma"/>
            <family val="2"/>
          </rPr>
          <t xml:space="preserve">Note: Earn a $25 Select Rebate during Fall per unit
</t>
        </r>
      </text>
    </comment>
    <comment ref="G32" authorId="1" shapeId="0" xr:uid="{29F7FDC4-5755-429C-B7F3-D0A4C6A9E5C6}">
      <text>
        <r>
          <rPr>
            <b/>
            <sz val="9"/>
            <color indexed="81"/>
            <rFont val="Tahoma"/>
            <family val="2"/>
          </rPr>
          <t>Purchases count towards rebate tier, but do not receive tier rebate</t>
        </r>
      </text>
    </comment>
    <comment ref="G33" authorId="1" shapeId="0" xr:uid="{5F4D3EE3-8928-492B-A714-17D36F22EB66}">
      <text>
        <r>
          <rPr>
            <b/>
            <sz val="9"/>
            <color indexed="81"/>
            <rFont val="Tahoma"/>
            <family val="2"/>
          </rPr>
          <t>Purchases count towards rebate tier, but do not receive tier rebate</t>
        </r>
      </text>
    </comment>
    <comment ref="G34" authorId="1" shapeId="0" xr:uid="{A04669C6-848D-4276-8B70-FF838FF82262}">
      <text>
        <r>
          <rPr>
            <b/>
            <sz val="9"/>
            <color indexed="81"/>
            <rFont val="Tahoma"/>
            <family val="2"/>
          </rPr>
          <t>Purchases count towards rebate tier, but do not receive tier rebate</t>
        </r>
      </text>
    </comment>
    <comment ref="G36" authorId="0" shapeId="0" xr:uid="{62B9EB81-BC11-4E7B-813E-B1890866A7A0}">
      <text>
        <r>
          <rPr>
            <b/>
            <sz val="9"/>
            <color indexed="81"/>
            <rFont val="Tahoma"/>
            <family val="2"/>
          </rPr>
          <t xml:space="preserve">Rebate Finder
</t>
        </r>
        <r>
          <rPr>
            <sz val="9"/>
            <color indexed="81"/>
            <rFont val="Tahoma"/>
            <family val="2"/>
          </rPr>
          <t>Pair 12+ with 4+ Banol for an $8 rebate per unit</t>
        </r>
        <r>
          <rPr>
            <sz val="9"/>
            <color indexed="81"/>
            <rFont val="Tahoma"/>
            <family val="2"/>
          </rPr>
          <t xml:space="preserve">
</t>
        </r>
      </text>
    </comment>
    <comment ref="G38" authorId="0" shapeId="0" xr:uid="{5B5B754E-A798-4277-9CA1-0A60B8EF437F}">
      <text>
        <r>
          <rPr>
            <b/>
            <sz val="9"/>
            <color indexed="81"/>
            <rFont val="Tahoma"/>
            <family val="2"/>
          </rPr>
          <t xml:space="preserve">Rebate Finder
</t>
        </r>
        <r>
          <rPr>
            <sz val="9"/>
            <color indexed="81"/>
            <rFont val="Tahoma"/>
            <family val="2"/>
          </rPr>
          <t xml:space="preserve"> Pair 24+ with 4+ Banol for an $9.75 rebate per unit</t>
        </r>
        <r>
          <rPr>
            <sz val="9"/>
            <color indexed="81"/>
            <rFont val="Tahoma"/>
            <family val="2"/>
          </rPr>
          <t xml:space="preserve">
</t>
        </r>
      </text>
    </comment>
    <comment ref="G39" authorId="1" shapeId="0" xr:uid="{81C6D91E-67BB-461A-AB70-D34E4C480478}">
      <text>
        <r>
          <rPr>
            <b/>
            <sz val="9"/>
            <color indexed="81"/>
            <rFont val="Tahoma"/>
            <family val="2"/>
          </rPr>
          <t>Purchases count towards rebate tier, but do not receive tier rebate</t>
        </r>
      </text>
    </comment>
    <comment ref="G40" authorId="1" shapeId="0" xr:uid="{481C712D-349D-4960-A906-AA558A6D8747}">
      <text>
        <r>
          <rPr>
            <b/>
            <sz val="9"/>
            <color indexed="81"/>
            <rFont val="Tahoma"/>
            <family val="2"/>
          </rPr>
          <t>Purchases count towards rebate tier, but do not receive tier rebate</t>
        </r>
      </text>
    </comment>
    <comment ref="G41" authorId="1" shapeId="0" xr:uid="{85A1D20D-7BCB-4CEB-9341-01F2EAC62D0B}">
      <text>
        <r>
          <rPr>
            <b/>
            <sz val="9"/>
            <color indexed="81"/>
            <rFont val="Tahoma"/>
            <family val="2"/>
          </rPr>
          <t>Purchases count towards rebate tier, but do not receive tier rebate</t>
        </r>
      </text>
    </comment>
    <comment ref="G42" authorId="2" shapeId="0" xr:uid="{1AC36568-96C8-4B5D-A71F-9A5A0EF8ABFE}">
      <text>
        <r>
          <rPr>
            <b/>
            <u/>
            <sz val="9"/>
            <color rgb="FF000000"/>
            <rFont val="Tahoma"/>
            <family val="2"/>
          </rPr>
          <t>Rebate Finder</t>
        </r>
        <r>
          <rPr>
            <sz val="9"/>
            <color rgb="FF000000"/>
            <rFont val="Tahoma"/>
            <family val="2"/>
          </rPr>
          <t xml:space="preserve">
Note: To qualify for this item's select rebate of $11, you must add minimum of 20 units.</t>
        </r>
      </text>
    </comment>
    <comment ref="G45" authorId="2" shapeId="0" xr:uid="{82D9D257-E66C-4EAB-B5D8-3DE8A51AEF9E}">
      <text>
        <r>
          <rPr>
            <b/>
            <u/>
            <sz val="9"/>
            <color rgb="FF000000"/>
            <rFont val="Tahoma"/>
            <family val="2"/>
          </rPr>
          <t>Rebate Finder</t>
        </r>
        <r>
          <rPr>
            <sz val="9"/>
            <color rgb="FF000000"/>
            <rFont val="Tahoma"/>
            <family val="2"/>
          </rPr>
          <t xml:space="preserve">
Note: To qualify for this item's select rebate of $25, you must add minimum of 8 units.</t>
        </r>
      </text>
    </comment>
    <comment ref="G46" authorId="0" shapeId="0" xr:uid="{5FB07765-E2B5-423E-B486-C34B59BCB61D}">
      <text>
        <r>
          <rPr>
            <b/>
            <sz val="9"/>
            <color indexed="81"/>
            <rFont val="Tahoma"/>
            <family val="2"/>
          </rPr>
          <t xml:space="preserve">Rebate Finder:
</t>
        </r>
        <r>
          <rPr>
            <sz val="9"/>
            <color indexed="81"/>
            <rFont val="Tahoma"/>
            <family val="2"/>
          </rPr>
          <t xml:space="preserve">Pair 6+ units with 2+ units of Specticle FLO to receive $25 pairing rebate.
</t>
        </r>
      </text>
    </comment>
    <comment ref="G49" authorId="0" shapeId="0" xr:uid="{742BE94B-5770-448B-A8BE-5BE62993C226}">
      <text>
        <r>
          <rPr>
            <b/>
            <sz val="9"/>
            <color indexed="81"/>
            <rFont val="Tahoma"/>
            <family val="2"/>
          </rPr>
          <t xml:space="preserve">Rebate Finder
</t>
        </r>
        <r>
          <rPr>
            <sz val="9"/>
            <color indexed="81"/>
            <rFont val="Tahoma"/>
            <family val="2"/>
          </rPr>
          <t xml:space="preserve">Note: Earn a $90 Select Rebate during Fall per unit
</t>
        </r>
      </text>
    </comment>
    <comment ref="G50" authorId="0" shapeId="0" xr:uid="{A305945F-8A85-408D-A893-CC0F95874E66}">
      <text>
        <r>
          <rPr>
            <b/>
            <sz val="9"/>
            <color indexed="81"/>
            <rFont val="Tahoma"/>
            <family val="2"/>
          </rPr>
          <t xml:space="preserve">Rebate Finder
</t>
        </r>
        <r>
          <rPr>
            <sz val="9"/>
            <color indexed="81"/>
            <rFont val="Tahoma"/>
            <family val="2"/>
          </rPr>
          <t xml:space="preserve">Note: Earn a $24 Select Rebate during Fall per unit
</t>
        </r>
      </text>
    </comment>
    <comment ref="R51" authorId="0" shapeId="0" xr:uid="{D454D4B0-F4D7-44E4-A74B-6DB15D2EEED8}">
      <text>
        <r>
          <rPr>
            <b/>
            <sz val="9"/>
            <color indexed="81"/>
            <rFont val="Tahoma"/>
            <family val="2"/>
          </rPr>
          <t>Mark Ford:</t>
        </r>
        <r>
          <rPr>
            <sz val="9"/>
            <color indexed="81"/>
            <rFont val="Tahoma"/>
            <family val="2"/>
          </rPr>
          <t xml:space="preserve">
Pounds</t>
        </r>
      </text>
    </comment>
    <comment ref="R58" authorId="0" shapeId="0" xr:uid="{BD69DF70-26AF-4DD5-BF64-750C6933ACEF}">
      <text>
        <r>
          <rPr>
            <b/>
            <sz val="9"/>
            <color indexed="81"/>
            <rFont val="Tahoma"/>
            <family val="2"/>
          </rPr>
          <t>Mark Ford:</t>
        </r>
        <r>
          <rPr>
            <sz val="9"/>
            <color indexed="81"/>
            <rFont val="Tahoma"/>
            <family val="2"/>
          </rPr>
          <t xml:space="preserve">
Pounds</t>
        </r>
      </text>
    </comment>
    <comment ref="G59" authorId="1" shapeId="0" xr:uid="{BB523EF0-EC1B-48EA-903B-1774B7122476}">
      <text>
        <r>
          <rPr>
            <b/>
            <sz val="9"/>
            <color indexed="81"/>
            <rFont val="Tahoma"/>
            <family val="2"/>
          </rPr>
          <t>Purchases count towards rebate tier, but do not receive tier rebate</t>
        </r>
      </text>
    </comment>
    <comment ref="R59" authorId="0" shapeId="0" xr:uid="{E455CB07-F49D-4874-B04E-EF94F5775DF8}">
      <text>
        <r>
          <rPr>
            <b/>
            <sz val="9"/>
            <color indexed="81"/>
            <rFont val="Tahoma"/>
            <family val="2"/>
          </rPr>
          <t>Mark Ford:</t>
        </r>
        <r>
          <rPr>
            <sz val="9"/>
            <color indexed="81"/>
            <rFont val="Tahoma"/>
            <family val="2"/>
          </rPr>
          <t xml:space="preserve">
Pounds</t>
        </r>
      </text>
    </comment>
  </commentList>
</comments>
</file>

<file path=xl/sharedStrings.xml><?xml version="1.0" encoding="utf-8"?>
<sst xmlns="http://schemas.openxmlformats.org/spreadsheetml/2006/main" count="474" uniqueCount="209">
  <si>
    <t xml:space="preserve">         NATIONAL 2023 FALL SOLUTIONS CALCULATOR                  </t>
  </si>
  <si>
    <r>
      <t>PURCHASE TIER REBATE</t>
    </r>
    <r>
      <rPr>
        <b/>
        <vertAlign val="superscript"/>
        <sz val="8"/>
        <color theme="1"/>
        <rFont val="Calibri"/>
        <family val="2"/>
      </rPr>
      <t>*</t>
    </r>
  </si>
  <si>
    <t>MINIMUM</t>
  </si>
  <si>
    <t>MAXIMUM</t>
  </si>
  <si>
    <r>
      <t>BASE 
REBATE %</t>
    </r>
    <r>
      <rPr>
        <b/>
        <sz val="8"/>
        <color rgb="FF000000"/>
        <rFont val="Calibri"/>
        <family val="2"/>
      </rPr>
      <t>**†</t>
    </r>
  </si>
  <si>
    <t>AUG-OCT BONUS**†</t>
  </si>
  <si>
    <r>
      <t>BASE + EARLY ORDER BONUS REBATE %</t>
    </r>
    <r>
      <rPr>
        <b/>
        <vertAlign val="superscript"/>
        <sz val="8"/>
        <color rgb="FF000000"/>
        <rFont val="Calibri"/>
        <family val="2"/>
      </rPr>
      <t>**†</t>
    </r>
  </si>
  <si>
    <t>TOTAL PURCHASE REBATE</t>
  </si>
  <si>
    <t>Name Order Here</t>
  </si>
  <si>
    <t>MINIMUM QTY</t>
  </si>
  <si>
    <t>MAXIMUM QTY</t>
  </si>
  <si>
    <t>REBATE %</t>
  </si>
  <si>
    <r>
      <rPr>
        <b/>
        <sz val="10"/>
        <color rgb="FF000000"/>
        <rFont val="Calibri"/>
        <family val="2"/>
      </rPr>
      <t>Description</t>
    </r>
    <r>
      <rPr>
        <sz val="10"/>
        <color rgb="FF000000"/>
        <rFont val="Calibri"/>
        <family val="2"/>
      </rPr>
      <t xml:space="preserve">: </t>
    </r>
  </si>
  <si>
    <r>
      <rPr>
        <b/>
        <sz val="10"/>
        <color rgb="FF000000"/>
        <rFont val="Calibri"/>
        <family val="2"/>
      </rPr>
      <t>Dist/DSR</t>
    </r>
    <r>
      <rPr>
        <sz val="10"/>
        <color rgb="FF000000"/>
        <rFont val="Calibri"/>
        <family val="2"/>
      </rPr>
      <t xml:space="preserve">: </t>
    </r>
  </si>
  <si>
    <t>ADMIN COLUMNS</t>
  </si>
  <si>
    <r>
      <rPr>
        <b/>
        <sz val="10"/>
        <color rgb="FF000000"/>
        <rFont val="Calibri"/>
        <family val="2"/>
      </rPr>
      <t>MER#</t>
    </r>
    <r>
      <rPr>
        <sz val="10"/>
        <color rgb="FF000000"/>
        <rFont val="Calibri"/>
        <family val="2"/>
      </rPr>
      <t xml:space="preserve">: </t>
    </r>
  </si>
  <si>
    <r>
      <rPr>
        <b/>
        <sz val="10"/>
        <color rgb="FF000000"/>
        <rFont val="Calibri"/>
        <family val="2"/>
      </rPr>
      <t>Last Updated (Date)</t>
    </r>
    <r>
      <rPr>
        <sz val="10"/>
        <color rgb="FF000000"/>
        <rFont val="Calibri"/>
        <family val="2"/>
      </rPr>
      <t xml:space="preserve">: </t>
    </r>
  </si>
  <si>
    <r>
      <rPr>
        <b/>
        <sz val="10"/>
        <color rgb="FF000000"/>
        <rFont val="Calibri"/>
        <family val="2"/>
      </rPr>
      <t>Created For</t>
    </r>
    <r>
      <rPr>
        <sz val="10"/>
        <color rgb="FF000000"/>
        <rFont val="Calibri"/>
        <family val="2"/>
      </rPr>
      <t xml:space="preserve">: </t>
    </r>
  </si>
  <si>
    <t>Invoice subtotal must be a minimum of  $5,000 across NOW/FALL promotions  to receive  rebates</t>
  </si>
  <si>
    <t>HIDE</t>
  </si>
  <si>
    <t>ALWAYS READ AND FOLLOW LABEL INSTRUCTIONS.</t>
  </si>
  <si>
    <t>SELECT REBATE</t>
  </si>
  <si>
    <t>PAIRING REBATE</t>
  </si>
  <si>
    <t>PURCHASE TIER REBATE</t>
  </si>
  <si>
    <t>NOW ELIGIBLE</t>
  </si>
  <si>
    <t>FALL ELIGIBLE</t>
  </si>
  <si>
    <t>REBATE FINDER. (Minimum Program Purchase to receive rebates is $5,000)</t>
  </si>
  <si>
    <t>AGENCY PRODUCT NAME</t>
  </si>
  <si>
    <t>UNIT SIZE</t>
  </si>
  <si>
    <t># UNITS</t>
  </si>
  <si>
    <t>INSEASON PRICE</t>
  </si>
  <si>
    <t>INSEASON SUBTOTAL</t>
  </si>
  <si>
    <t>PRICE/
UNIT*</t>
  </si>
  <si>
    <t>INVOICE SUBTOTAL</t>
  </si>
  <si>
    <t>SELECT REBATES**†</t>
  </si>
  <si>
    <t>PAIRING REBATES**†</t>
  </si>
  <si>
    <t>PURCHASE TIER REBATE**†</t>
  </si>
  <si>
    <r>
      <t>NET PRICE/UNIT</t>
    </r>
    <r>
      <rPr>
        <b/>
        <sz val="6"/>
        <color rgb="FF000000"/>
        <rFont val="Calibri"/>
        <family val="2"/>
      </rPr>
      <t xml:space="preserve"> </t>
    </r>
    <r>
      <rPr>
        <b/>
        <sz val="8"/>
        <color rgb="FF000000"/>
        <rFont val="Calibri"/>
        <family val="2"/>
      </rPr>
      <t>(all rebates, incl. purchase tier)</t>
    </r>
  </si>
  <si>
    <t>TOTAL AFTER REBATE</t>
  </si>
  <si>
    <r>
      <t>USE RATE (oz) / 1,000 FT</t>
    </r>
    <r>
      <rPr>
        <b/>
        <vertAlign val="superscript"/>
        <sz val="9"/>
        <color rgb="FF000000"/>
        <rFont val="Calibri"/>
        <family val="2"/>
      </rPr>
      <t>2</t>
    </r>
  </si>
  <si>
    <t>USE RATE (oz)/ ACRE</t>
  </si>
  <si>
    <t>TOTAL ACRES TREATED</t>
  </si>
  <si>
    <t>Required Qty</t>
  </si>
  <si>
    <t>Rebate</t>
  </si>
  <si>
    <t>Qualify?</t>
  </si>
  <si>
    <t xml:space="preserve">Rebate </t>
  </si>
  <si>
    <t>Aug - Oct Early Pay Bonus</t>
  </si>
  <si>
    <t>Purchase Tier Rebate</t>
  </si>
  <si>
    <t>Total must be &gt; $5000 to qualify for rebates</t>
  </si>
  <si>
    <t>X</t>
  </si>
  <si>
    <t>Purchase Tier</t>
  </si>
  <si>
    <t>Altus® (1-15 units)</t>
  </si>
  <si>
    <t>64 fl.oz. jug</t>
  </si>
  <si>
    <t>Altus® (16+ units)</t>
  </si>
  <si>
    <t>$45 Select for 4+/$45 4+ pairing w/ 12+ Signature or 24+ Signature XTRA/Tier</t>
  </si>
  <si>
    <t>Banol®</t>
  </si>
  <si>
    <t>2.5 gal.jug</t>
  </si>
  <si>
    <t>$5 Select for 16+/ $5 16+ pairing w/2+ Specticle/Tier</t>
  </si>
  <si>
    <t>Celsius®</t>
  </si>
  <si>
    <t>10 oz. bottle</t>
  </si>
  <si>
    <t>$5 Select for 8+/Tier</t>
  </si>
  <si>
    <t>Celsius XTRA</t>
  </si>
  <si>
    <t>$30 4+ pairing with 12+ Exteris/Tier</t>
  </si>
  <si>
    <t>Densicor®</t>
  </si>
  <si>
    <t>51 fl.oz. bottle</t>
  </si>
  <si>
    <t>$47 12+ pairing with 4+ Densicor/Tier</t>
  </si>
  <si>
    <t>Exteris® Stressgard</t>
  </si>
  <si>
    <t>$8 Select for 10+/Tier</t>
  </si>
  <si>
    <t>Fiata Stressgard</t>
  </si>
  <si>
    <t>Indemnify® (1-5 units)</t>
  </si>
  <si>
    <t>17.1 fl.oz. bottle</t>
  </si>
  <si>
    <t>Indemnify® (6+ units)</t>
  </si>
  <si>
    <t>Interface® Stressgard® (1-5 units)</t>
  </si>
  <si>
    <t>$25 Select for 6 +, $21 Pairing w/2+ Mirage/Tier</t>
  </si>
  <si>
    <t>Interface® Stressgard® (6+ units)</t>
  </si>
  <si>
    <t>Merit 75 WSP Mega Mini</t>
  </si>
  <si>
    <t>110 x 1.6 oz drum</t>
  </si>
  <si>
    <t>$26 2+ Pairing w/6+ Interface/Tier</t>
  </si>
  <si>
    <t>Mirage® Stressgard®</t>
  </si>
  <si>
    <t>$25 Select Rebate/Tier</t>
  </si>
  <si>
    <r>
      <rPr>
        <sz val="10"/>
        <color rgb="FFFF0000"/>
        <rFont val="Calibri"/>
        <family val="2"/>
      </rPr>
      <t>NEW</t>
    </r>
    <r>
      <rPr>
        <sz val="10"/>
        <color rgb="FF000000"/>
        <rFont val="Calibri"/>
        <family val="2"/>
      </rPr>
      <t xml:space="preserve"> Resilia ™</t>
    </r>
  </si>
  <si>
    <t>2.72 gal. jug</t>
  </si>
  <si>
    <t>Revolver®</t>
  </si>
  <si>
    <t>87 fl.oz. bottle</t>
  </si>
  <si>
    <t>Purchases count towards rebate tier but do not receive a rebate</t>
  </si>
  <si>
    <t>Ronstar® FLO (1-11 units)</t>
  </si>
  <si>
    <t>Ronstar® FLO (12-39 units)</t>
  </si>
  <si>
    <t>Ronstar® FLO (40+ units)</t>
  </si>
  <si>
    <t>Signature (1-8 units)</t>
  </si>
  <si>
    <t>11. lb bottle</t>
  </si>
  <si>
    <t>$8 12+ pairing w/4+ Banol/Tier</t>
  </si>
  <si>
    <t>Signature (9+ units)</t>
  </si>
  <si>
    <t>Signature XTRA® (1-23 units)</t>
  </si>
  <si>
    <t>5.5 lb. bottle</t>
  </si>
  <si>
    <t>$9.75 24+ pairing w/4+ Banol/Tier</t>
  </si>
  <si>
    <t>Signature XTRA® (24+ units)</t>
  </si>
  <si>
    <t>Specticle® FLO (1-13 units)</t>
  </si>
  <si>
    <t xml:space="preserve">1 gal. bottle </t>
  </si>
  <si>
    <t>Specticle® FLO (14-25 units)</t>
  </si>
  <si>
    <t>Specticle® FLO (26+ units)</t>
  </si>
  <si>
    <t>$11 Select  for 20+ /Tier</t>
  </si>
  <si>
    <t>Specticle® G</t>
  </si>
  <si>
    <t>50 lb. bag</t>
  </si>
  <si>
    <t>Tartan® Stressgard (1-5 units)</t>
  </si>
  <si>
    <t>$40 Select for 6+/Tier</t>
  </si>
  <si>
    <t>Tartan Stressgard (6+ units)</t>
  </si>
  <si>
    <t>$25 Select for 8+</t>
  </si>
  <si>
    <t xml:space="preserve">Tetrino® </t>
  </si>
  <si>
    <t>1 gal. jug</t>
  </si>
  <si>
    <t>$25 6+ pairing with 2+ Specticle/Purchase Tier</t>
  </si>
  <si>
    <t xml:space="preserve">Tribute® Total </t>
  </si>
  <si>
    <t>6 oz. bottle</t>
  </si>
  <si>
    <t xml:space="preserve">                                                         Non-Agency Products</t>
  </si>
  <si>
    <t xml:space="preserve">26GT </t>
  </si>
  <si>
    <t>2.5 gal. jug</t>
  </si>
  <si>
    <t>$90 Select for 1 unit/Tier</t>
  </si>
  <si>
    <t xml:space="preserve">Acclaim® Extra </t>
  </si>
  <si>
    <t>$24 Select for 1 unit/Tier</t>
  </si>
  <si>
    <t xml:space="preserve">Armada® </t>
  </si>
  <si>
    <t>2 lb. bottle</t>
  </si>
  <si>
    <r>
      <t>Chipco® Choice</t>
    </r>
    <r>
      <rPr>
        <vertAlign val="superscript"/>
        <sz val="10"/>
        <color rgb="FF000000"/>
        <rFont val="Calibri"/>
        <family val="2"/>
      </rPr>
      <t>◊</t>
    </r>
  </si>
  <si>
    <t>Compass</t>
  </si>
  <si>
    <t>1 lb. bottle</t>
  </si>
  <si>
    <t>Dylox 420 SL</t>
  </si>
  <si>
    <t>2.5 gal jug</t>
  </si>
  <si>
    <t xml:space="preserve">Forbid® </t>
  </si>
  <si>
    <t>8 fl.oz. bottle</t>
  </si>
  <si>
    <t>Prograss EC</t>
  </si>
  <si>
    <t xml:space="preserve">Proxy® </t>
  </si>
  <si>
    <t>32 oz bottle</t>
  </si>
  <si>
    <t>Sencor</t>
  </si>
  <si>
    <t>5 lb.bottle</t>
  </si>
  <si>
    <r>
      <t>Topchoice</t>
    </r>
    <r>
      <rPr>
        <vertAlign val="superscript"/>
        <sz val="10"/>
        <color rgb="FF000000"/>
        <rFont val="Calibri"/>
        <family val="2"/>
      </rPr>
      <t>◊</t>
    </r>
  </si>
  <si>
    <t>Summary</t>
  </si>
  <si>
    <t xml:space="preserve">ALWAYS READ AND FOLLOW LABEL INSTRUCTIONS. Environmental Science U.S. LLC, 5000 CentreGreen Way, Suite 400, Cary, NC 27513. Not all products are registered in all states. Envu, the Envu logo, 26GT, Acclaim, Altus, Armada, Banol, Celsius, Chipco, Compass, Densicor, Exteris, Forbid, Fiata, Indemnify, Interface, Merit, Mirage, Prograss, Proxy, Revolver, Resilia, Sencor, Signature, Specticle, Stressgard, Tartan, Tetrino, Topchoice and Tribute are trademarks owned by Environmental Science U.S. LLC or one of its affiliates. Ronstar is a trademark of Bayer. Dylox is a registered trademark of Amvac. ©2023 Environmental Science U.S. LLC. </t>
  </si>
  <si>
    <t>Summary is provided as an estimate only. See program rules and conditions.</t>
  </si>
  <si>
    <t>Count October Invoice Bonus?</t>
  </si>
  <si>
    <t>Total Before Off Invoice Volume Discounts</t>
  </si>
  <si>
    <t>Yes</t>
  </si>
  <si>
    <r>
      <t>*Pricing for all states except CA or WA. Must be purchased on a single invoice to receive volume discount price. Purchase tier amount credited for non-agency products is predetermined by Envu. **Must be registered in My Envu Rewards and accept current Terms and Conditions to participate. ***Savings compared to 1 unit at the National price. †Customer Fall Solutions and NOW Solutions promotional cumulative purchases (Aug. 1 - Dec. 4, 2023) must be $5,000 or more to qualify for program rebates. New members signed up before Dec. 31, 2023, will receive 2023 NOW/Fall Solutions rebates. All rebates for 2022 NOW/Fall Solutions will be paid in points, which can be redeemed for thousands of catalog items, distributor credits and/or company checks (no checks can be issued to a third party). All products must be invoiced between Oct. 1 and Dec. 4, 2023, to qualify for NOW Solutions.</t>
    </r>
    <r>
      <rPr>
        <b/>
        <sz val="8.5"/>
        <color rgb="FF000000"/>
        <rFont val="Calibri"/>
        <family val="2"/>
      </rPr>
      <t xml:space="preserve"> </t>
    </r>
    <r>
      <rPr>
        <b/>
        <sz val="11"/>
        <color rgb="FF000000"/>
        <rFont val="Calibri"/>
        <family val="2"/>
      </rPr>
      <t>Rebate calculations will be based on the date of actual product invoice and calculator tools are provided for estimation purposes only.</t>
    </r>
    <r>
      <rPr>
        <sz val="11"/>
        <color rgb="FF000000"/>
        <rFont val="Calibri"/>
        <family val="2"/>
      </rPr>
      <t xml:space="preserve"> </t>
    </r>
    <r>
      <rPr>
        <sz val="8.5"/>
        <color rgb="FF000000"/>
        <rFont val="Calibri"/>
        <family val="2"/>
      </rPr>
      <t>Rebates will only be paid or delivered to the company or name listed on the invoice. Please allow for rebates to be fulfilled by July 31, 2024. End users are only eligible for one Envu incentive program on these invoiced products. Must be an end user with MER membership and accept current Terms and Conditions. Resale of product(s) purchased within this program will not qualify for rebates. If questions arise, please contact MER at 1-888-456-6464 or email info@myenvurewards.com. Envu reserves the right to modify any portion thereof, or discontinue this program without prior notice.</t>
    </r>
  </si>
  <si>
    <t>Off Invoice Volume Discount</t>
  </si>
  <si>
    <t xml:space="preserve">Fall Solutions Invoice Total </t>
  </si>
  <si>
    <t>Purchase Tier Level</t>
  </si>
  <si>
    <t>Rebate (Total Program Purchase must be a minimum of $5,000 to receive rebates)</t>
  </si>
  <si>
    <t>Net Total after Rebate</t>
  </si>
  <si>
    <t>Rebate % (Total Program Purchase must be a minimum of $5,000 to receive rebates)</t>
  </si>
  <si>
    <t>Total Savings (Rebates + Off Invoice Volume Discounts)</t>
  </si>
  <si>
    <r>
      <rPr>
        <vertAlign val="superscript"/>
        <sz val="8"/>
        <color rgb="FF000000"/>
        <rFont val="Calibri"/>
        <family val="2"/>
      </rPr>
      <t>◊</t>
    </r>
    <r>
      <rPr>
        <sz val="8"/>
        <color rgb="FF000000"/>
        <rFont val="Calibri"/>
        <family val="2"/>
      </rPr>
      <t>TOPCHOICE AND CHIPCO CHOICE ARE RESTRICTED USE PESTICIDES DUE TO TOXICITY TO AQUATIC INVERTEBRATES. For retail sale to and use only by Certified Applicators or persons under their direct supervision and only for those uses covered by the Certified Applicator’s certification.</t>
    </r>
  </si>
  <si>
    <t>Total Savings % (Rebates + Off Invoice Volume Discounts)</t>
  </si>
  <si>
    <t>version 12SEPV2</t>
  </si>
  <si>
    <r>
      <rPr>
        <b/>
        <sz val="10"/>
        <color rgb="FF000000"/>
        <rFont val="Calibri"/>
        <family val="2"/>
      </rPr>
      <t>Distributor/DSR</t>
    </r>
    <r>
      <rPr>
        <sz val="10"/>
        <color rgb="FF000000"/>
        <rFont val="Calibri"/>
        <family val="2"/>
      </rPr>
      <t xml:space="preserve">: </t>
    </r>
  </si>
  <si>
    <r>
      <rPr>
        <b/>
        <sz val="10"/>
        <color rgb="FF000000"/>
        <rFont val="Calibri"/>
        <family val="2"/>
      </rPr>
      <t>Last Updated</t>
    </r>
    <r>
      <rPr>
        <sz val="10"/>
        <color rgb="FF000000"/>
        <rFont val="Calibri"/>
        <family val="2"/>
      </rPr>
      <t xml:space="preserve">: </t>
    </r>
  </si>
  <si>
    <t>Page 1 of 1</t>
  </si>
  <si>
    <t>AGENCY PRODUCTS</t>
  </si>
  <si>
    <t>PRODUCT NAME</t>
  </si>
  <si>
    <t>PRICE/UNIT</t>
  </si>
  <si>
    <t>SUBTOTAL</t>
  </si>
  <si>
    <t>NET PRICE/UNIT</t>
  </si>
  <si>
    <t>64 oz. jug</t>
  </si>
  <si>
    <t>51 oz. bottle</t>
  </si>
  <si>
    <t>17.1 oz. bottle</t>
  </si>
  <si>
    <t>87 oz. bottle</t>
  </si>
  <si>
    <t>Signature XTRA® (1 to 23 units)</t>
  </si>
  <si>
    <t>Page 2 of 2</t>
  </si>
  <si>
    <t>Chipco® Choice</t>
  </si>
  <si>
    <t>8 oz. bottle</t>
  </si>
  <si>
    <t>Topchoice</t>
  </si>
  <si>
    <t>Total Before Off Invoice Discounts</t>
  </si>
  <si>
    <t>Fall Solutions Invoice Total</t>
  </si>
  <si>
    <t xml:space="preserve">Purchase Tier Level </t>
  </si>
  <si>
    <t>Rebate (Total Program Purchase must be a min of $5K to receive rebates)</t>
  </si>
  <si>
    <t>Net Total after Rebates</t>
  </si>
  <si>
    <t>Rebate % (Total Program Purchase must be a min of $5K to receive rebates)</t>
  </si>
  <si>
    <t>Total Savings  (Rebates + Off Invoice Discounts)</t>
  </si>
  <si>
    <t>Total Savings % (Rebates + Off Invoice Discounts)</t>
  </si>
  <si>
    <t>PRE3 Solution</t>
  </si>
  <si>
    <t>Agency Products</t>
  </si>
  <si>
    <t>GAL/OZ/LB</t>
  </si>
  <si>
    <t>USE RATE / 1,000 FT2</t>
  </si>
  <si>
    <t>TOTAL ACRES</t>
  </si>
  <si>
    <t xml:space="preserve">Specticle® FLO </t>
  </si>
  <si>
    <t>2 GAL.</t>
  </si>
  <si>
    <t>36 FL OZ.</t>
  </si>
  <si>
    <t>Utility/Snow Mold Solution</t>
  </si>
  <si>
    <t>Interface® Stressgard®</t>
  </si>
  <si>
    <t>2.5 gal. bottle</t>
  </si>
  <si>
    <t>15 GAL.</t>
  </si>
  <si>
    <t>5 GAL.</t>
  </si>
  <si>
    <t>Dual Defense Solution</t>
  </si>
  <si>
    <t>Celsius® WG</t>
  </si>
  <si>
    <t>160 OZ.</t>
  </si>
  <si>
    <t>Specticle® FLO</t>
  </si>
  <si>
    <t>1 gal. bottle</t>
  </si>
  <si>
    <t>Pythium Solution</t>
  </si>
  <si>
    <t>10 GAL.</t>
  </si>
  <si>
    <t>Chipco® Signature™</t>
  </si>
  <si>
    <t xml:space="preserve">
11 lb. bottle</t>
  </si>
  <si>
    <t>12 bottles</t>
  </si>
  <si>
    <t>132 LB.</t>
  </si>
  <si>
    <t>Pythium XTRA Solution</t>
  </si>
  <si>
    <t xml:space="preserve">Signature™ XTRA Stressgard® </t>
  </si>
  <si>
    <t>Fairway Solution</t>
  </si>
  <si>
    <t>Exteris® Stressgard®</t>
  </si>
  <si>
    <t>30 GAL.</t>
  </si>
  <si>
    <t>Densicor</t>
  </si>
  <si>
    <t>Leaf Spot &amp; Greens Health</t>
  </si>
  <si>
    <t>11 lb. bottle</t>
  </si>
  <si>
    <t>Leaf Spot &amp; Greens Health XTRA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</si>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</sst>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164" formatCode="0.00######"/>
    <numFmt numFmtId="165" formatCode="\$\ #,##0.00"/>
    <numFmt numFmtId="166" formatCode="&quot;$&quot;#,##0.00"/>
    <numFmt numFmtId="167" formatCode="0.00##"/>
    <numFmt numFmtId="168" formatCode="0.00#"/>
    <numFmt numFmtId="169" formatCode="\$\ #,##0"/>
    <numFmt numFmtId="170" formatCode="0.0%"/>
    <numFmt numFmtId="171" formatCode="0.0"/>
    <numFmt numFmtId="172" formatCode="0.000"/>
  </numFmts>
  <fonts count="45" x14ac:knownFonts="1">
    <font>
      <sz val="11"/>
      <color rgb="FF000000"/>
      <name val="Calibri"/>
      <family val="2"/>
    </font>
    <font>
      <sz val="11"/>
      <color theme="1"/>
      <name val="Calibri"/>
      <family val="2"/>
      <scheme val="minor"/>
    </font>
    <font>
      <b/>
      <sz val="12"/>
      <color rgb="FF000000"/>
      <name val="Calibri"/>
      <family val="2"/>
    </font>
    <font>
      <sz val="10"/>
      <color rgb="FF000000"/>
      <name val="Calibri"/>
      <family val="2"/>
    </font>
    <font>
      <b/>
      <sz val="16"/>
      <color rgb="FF000000"/>
      <name val="Calibri"/>
      <family val="2"/>
    </font>
    <font>
      <b/>
      <sz val="9"/>
      <color rgb="FF000000"/>
      <name val="Calibri"/>
      <family val="2"/>
    </font>
    <font>
      <b/>
      <sz val="10"/>
      <color rgb="FF000000"/>
      <name val="Calibri"/>
      <family val="2"/>
    </font>
    <font>
      <sz val="14"/>
      <color rgb="FF000000"/>
      <name val="Calibri"/>
      <family val="2"/>
    </font>
    <font>
      <sz val="16"/>
      <color rgb="FF000000"/>
      <name val="Calibri"/>
      <family val="2"/>
    </font>
    <font>
      <b/>
      <sz val="14"/>
      <color rgb="FF000000"/>
      <name val="Calibri"/>
      <family val="2"/>
    </font>
    <font>
      <sz val="14"/>
      <color rgb="FFFFFFFF"/>
      <name val="Calibri"/>
      <family val="2"/>
    </font>
    <font>
      <b/>
      <u/>
      <sz val="9"/>
      <color rgb="FF000000"/>
      <name val="Tahoma"/>
      <family val="2"/>
    </font>
    <font>
      <sz val="9"/>
      <color rgb="FF000000"/>
      <name val="Tahoma"/>
      <family val="2"/>
    </font>
    <font>
      <b/>
      <u/>
      <sz val="9"/>
      <color indexed="81"/>
      <name val="Tahoma"/>
      <family val="2"/>
    </font>
    <font>
      <b/>
      <sz val="9"/>
      <color indexed="81"/>
      <name val="Tahoma"/>
      <family val="2"/>
    </font>
    <font>
      <sz val="9"/>
      <color indexed="81"/>
      <name val="Tahoma"/>
      <family val="2"/>
    </font>
    <font>
      <sz val="11"/>
      <color rgb="FF000000"/>
      <name val="Calibri"/>
      <family val="2"/>
    </font>
    <font>
      <b/>
      <sz val="8"/>
      <color rgb="FF000000"/>
      <name val="Calibri"/>
      <family val="2"/>
    </font>
    <font>
      <b/>
      <sz val="7.5"/>
      <color rgb="FF000000"/>
      <name val="Calibri"/>
      <family val="2"/>
    </font>
    <font>
      <sz val="10"/>
      <color theme="1"/>
      <name val="Calibri"/>
      <family val="2"/>
    </font>
    <font>
      <sz val="12"/>
      <color rgb="FF000000"/>
      <name val="Calibri"/>
      <family val="2"/>
    </font>
    <font>
      <sz val="9"/>
      <color rgb="FF000000"/>
      <name val="Calibri"/>
      <family val="2"/>
    </font>
    <font>
      <b/>
      <sz val="10"/>
      <color theme="0"/>
      <name val="Calibri"/>
      <family val="2"/>
    </font>
    <font>
      <sz val="8"/>
      <name val="Calibri"/>
      <family val="2"/>
    </font>
    <font>
      <b/>
      <sz val="6"/>
      <color rgb="FF000000"/>
      <name val="Calibri"/>
      <family val="2"/>
    </font>
    <font>
      <b/>
      <sz val="14"/>
      <name val="Calibri"/>
      <family val="2"/>
    </font>
    <font>
      <sz val="10"/>
      <color theme="0"/>
      <name val="Calibri"/>
      <family val="2"/>
    </font>
    <font>
      <b/>
      <sz val="12"/>
      <name val="Calibri"/>
      <family val="2"/>
    </font>
    <font>
      <sz val="10"/>
      <name val="Calibri"/>
      <family val="2"/>
    </font>
    <font>
      <sz val="10"/>
      <color rgb="FFFF0000"/>
      <name val="Calibri"/>
      <family val="2"/>
    </font>
    <font>
      <b/>
      <sz val="12"/>
      <color theme="1"/>
      <name val="Calibri"/>
      <family val="2"/>
    </font>
    <font>
      <sz val="8"/>
      <color rgb="FF000000"/>
      <name val="Calibri"/>
      <family val="2"/>
    </font>
    <font>
      <i/>
      <sz val="10"/>
      <color rgb="FF000000"/>
      <name val="Calibri"/>
      <family val="2"/>
    </font>
    <font>
      <sz val="12"/>
      <color rgb="FF7030A0"/>
      <name val="Calibri"/>
      <family val="2"/>
    </font>
    <font>
      <b/>
      <sz val="14"/>
      <color theme="0"/>
      <name val="Arial"/>
      <family val="2"/>
    </font>
    <font>
      <b/>
      <vertAlign val="superscript"/>
      <sz val="8"/>
      <color theme="1"/>
      <name val="Calibri"/>
      <family val="2"/>
    </font>
    <font>
      <b/>
      <vertAlign val="superscript"/>
      <sz val="8"/>
      <color rgb="FF000000"/>
      <name val="Calibri"/>
      <family val="2"/>
    </font>
    <font>
      <b/>
      <sz val="20"/>
      <color rgb="FFFF0000"/>
      <name val="Calibri"/>
      <family val="2"/>
    </font>
    <font>
      <b/>
      <sz val="11"/>
      <color rgb="FF000000"/>
      <name val="Calibri"/>
      <family val="2"/>
    </font>
    <font>
      <vertAlign val="superscript"/>
      <sz val="8"/>
      <color rgb="FF000000"/>
      <name val="Calibri"/>
      <family val="2"/>
    </font>
    <font>
      <sz val="8.5"/>
      <color rgb="FF000000"/>
      <name val="Calibri"/>
      <family val="2"/>
    </font>
    <font>
      <b/>
      <sz val="8.5"/>
      <color rgb="FF000000"/>
      <name val="Calibri"/>
      <family val="2"/>
    </font>
    <font>
      <b/>
      <sz val="18"/>
      <color rgb="FFFF0000"/>
      <name val="Calibri"/>
      <family val="2"/>
    </font>
    <font>
      <b/>
      <vertAlign val="superscript"/>
      <sz val="9"/>
      <color rgb="FF000000"/>
      <name val="Calibri"/>
      <family val="2"/>
    </font>
    <font>
      <vertAlign val="superscript"/>
      <sz val="10"/>
      <color rgb="FF000000"/>
      <name val="Calibri"/>
      <family val="2"/>
    </font>
  </fonts>
  <fills count="28">
    <fill>
      <patternFill patternType="none"/>
    </fill>
    <fill>
      <patternFill patternType="gray125"/>
    </fill>
    <fill>
      <patternFill patternType="solid">
        <fgColor rgb="FFFFFFCC"/>
      </patternFill>
    </fill>
    <fill>
      <patternFill patternType="solid">
        <fgColor rgb="FFFFFFFF"/>
      </patternFill>
    </fill>
    <fill>
      <patternFill patternType="solid">
        <fgColor rgb="FFFAFAFA"/>
      </patternFill>
    </fill>
    <fill>
      <patternFill patternType="solid">
        <fgColor rgb="FF66B512"/>
      </patternFill>
    </fill>
    <fill>
      <patternFill patternType="solid">
        <fgColor rgb="FFDEE2E6"/>
      </patternFill>
    </fill>
    <fill>
      <patternFill patternType="solid">
        <fgColor rgb="FFFFFFCC"/>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DEBDFF"/>
        <bgColor indexed="64"/>
      </patternFill>
    </fill>
    <fill>
      <patternFill patternType="solid">
        <fgColor rgb="FFF5EBFF"/>
        <bgColor indexed="64"/>
      </patternFill>
    </fill>
    <fill>
      <patternFill patternType="solid">
        <fgColor theme="0" tint="-4.9989318521683403E-2"/>
        <bgColor indexed="64"/>
      </patternFill>
    </fill>
    <fill>
      <patternFill patternType="solid">
        <fgColor theme="1"/>
        <bgColor indexed="64"/>
      </patternFill>
    </fill>
    <fill>
      <patternFill patternType="solid">
        <fgColor theme="7"/>
        <bgColor indexed="64"/>
      </patternFill>
    </fill>
    <fill>
      <patternFill patternType="solid">
        <fgColor theme="9"/>
        <bgColor indexed="64"/>
      </patternFill>
    </fill>
    <fill>
      <patternFill patternType="solid">
        <fgColor rgb="FFF9F3FF"/>
        <bgColor indexed="64"/>
      </patternFill>
    </fill>
    <fill>
      <patternFill patternType="solid">
        <fgColor theme="4" tint="0.79998168889431442"/>
        <bgColor indexed="64"/>
      </patternFill>
    </fill>
    <fill>
      <patternFill patternType="solid">
        <fgColor rgb="FF7030A0"/>
        <bgColor indexed="64"/>
      </patternFill>
    </fill>
    <fill>
      <patternFill patternType="solid">
        <fgColor rgb="FFFAFAFA"/>
        <bgColor rgb="FF000000"/>
      </patternFill>
    </fill>
    <fill>
      <patternFill patternType="solid">
        <fgColor rgb="FFDEE2E6"/>
        <bgColor rgb="FF000000"/>
      </patternFill>
    </fill>
    <fill>
      <patternFill patternType="solid">
        <fgColor rgb="FFFFFFCC"/>
        <bgColor rgb="FF000000"/>
      </patternFill>
    </fill>
    <fill>
      <patternFill patternType="solid">
        <fgColor rgb="FF7E58AE"/>
        <bgColor indexed="64"/>
      </patternFill>
    </fill>
    <fill>
      <patternFill patternType="solid">
        <fgColor rgb="FFF5EBFF"/>
        <bgColor rgb="FF000000"/>
      </patternFill>
    </fill>
    <fill>
      <patternFill patternType="solid">
        <fgColor rgb="FFF5EBFF"/>
      </patternFill>
    </fill>
    <fill>
      <patternFill patternType="solid">
        <fgColor theme="9" tint="0.59999389629810485"/>
        <bgColor indexed="64"/>
      </patternFill>
    </fill>
  </fills>
  <borders count="77">
    <border>
      <left/>
      <right/>
      <top/>
      <bottom/>
      <diagonal/>
    </border>
    <border>
      <left style="thin">
        <color rgb="FF777777"/>
      </left>
      <right style="thin">
        <color rgb="FF777777"/>
      </right>
      <top style="thin">
        <color rgb="FF777777"/>
      </top>
      <bottom style="thin">
        <color rgb="FF777777"/>
      </bottom>
      <diagonal/>
    </border>
    <border>
      <left/>
      <right/>
      <top/>
      <bottom style="thick">
        <color rgb="FF66B512"/>
      </bottom>
      <diagonal/>
    </border>
    <border>
      <left/>
      <right style="thin">
        <color rgb="FF777777"/>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77777"/>
      </left>
      <right style="thin">
        <color indexed="64"/>
      </right>
      <top style="thin">
        <color rgb="FF777777"/>
      </top>
      <bottom style="thin">
        <color rgb="FF777777"/>
      </bottom>
      <diagonal/>
    </border>
    <border>
      <left/>
      <right/>
      <top style="thin">
        <color rgb="FF777777"/>
      </top>
      <bottom style="thin">
        <color rgb="FF777777"/>
      </bottom>
      <diagonal/>
    </border>
    <border>
      <left/>
      <right style="thin">
        <color rgb="FF777777"/>
      </right>
      <top style="thin">
        <color rgb="FF777777"/>
      </top>
      <bottom style="thin">
        <color rgb="FF777777"/>
      </bottom>
      <diagonal/>
    </border>
    <border>
      <left style="thin">
        <color rgb="FF777777"/>
      </left>
      <right style="thin">
        <color rgb="FF777777"/>
      </right>
      <top style="thin">
        <color rgb="FF777777"/>
      </top>
      <bottom/>
      <diagonal/>
    </border>
    <border>
      <left/>
      <right/>
      <top style="thick">
        <color rgb="FF66B512"/>
      </top>
      <bottom/>
      <diagonal/>
    </border>
    <border>
      <left style="thin">
        <color rgb="FF777777"/>
      </left>
      <right/>
      <top style="thin">
        <color rgb="FF777777"/>
      </top>
      <bottom style="thin">
        <color rgb="FF777777"/>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777777"/>
      </top>
      <bottom/>
      <diagonal/>
    </border>
    <border>
      <left/>
      <right/>
      <top style="thin">
        <color indexed="64"/>
      </top>
      <bottom style="thin">
        <color indexed="64"/>
      </bottom>
      <diagonal/>
    </border>
    <border>
      <left style="thin">
        <color rgb="FF777777"/>
      </left>
      <right/>
      <top style="thin">
        <color rgb="FF777777"/>
      </top>
      <bottom/>
      <diagonal/>
    </border>
    <border>
      <left/>
      <right style="thin">
        <color rgb="FF777777"/>
      </right>
      <top style="thin">
        <color rgb="FF777777"/>
      </top>
      <bottom/>
      <diagonal/>
    </border>
    <border>
      <left style="thin">
        <color rgb="FF777777"/>
      </left>
      <right/>
      <top/>
      <bottom/>
      <diagonal/>
    </border>
    <border>
      <left/>
      <right/>
      <top/>
      <bottom style="thin">
        <color rgb="FF777777"/>
      </bottom>
      <diagonal/>
    </border>
    <border>
      <left style="thin">
        <color rgb="FF777777"/>
      </left>
      <right style="thin">
        <color rgb="FF777777"/>
      </right>
      <top/>
      <bottom style="thin">
        <color rgb="FF777777"/>
      </bottom>
      <diagonal/>
    </border>
    <border>
      <left/>
      <right/>
      <top/>
      <bottom style="thin">
        <color indexed="64"/>
      </bottom>
      <diagonal/>
    </border>
    <border>
      <left style="thin">
        <color rgb="FF777777"/>
      </left>
      <right style="thin">
        <color rgb="FF777777"/>
      </right>
      <top/>
      <bottom/>
      <diagonal/>
    </border>
    <border>
      <left/>
      <right style="thin">
        <color indexed="64"/>
      </right>
      <top style="thin">
        <color indexed="64"/>
      </top>
      <bottom style="thin">
        <color indexed="64"/>
      </bottom>
      <diagonal/>
    </border>
    <border>
      <left/>
      <right/>
      <top/>
      <bottom style="medium">
        <color theme="4"/>
      </bottom>
      <diagonal/>
    </border>
    <border>
      <left/>
      <right/>
      <top style="medium">
        <color theme="4"/>
      </top>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ck">
        <color rgb="FF064121"/>
      </top>
      <bottom/>
      <diagonal/>
    </border>
    <border>
      <left style="thin">
        <color rgb="FF777777"/>
      </left>
      <right/>
      <top style="thin">
        <color rgb="FF777777"/>
      </top>
      <bottom style="thin">
        <color indexed="64"/>
      </bottom>
      <diagonal/>
    </border>
    <border>
      <left/>
      <right/>
      <top style="thin">
        <color rgb="FF777777"/>
      </top>
      <bottom style="thin">
        <color indexed="64"/>
      </bottom>
      <diagonal/>
    </border>
    <border>
      <left/>
      <right style="thin">
        <color rgb="FF777777"/>
      </right>
      <top style="thin">
        <color rgb="FF777777"/>
      </top>
      <bottom style="thin">
        <color indexed="64"/>
      </bottom>
      <diagonal/>
    </border>
    <border>
      <left style="thin">
        <color rgb="FF777777"/>
      </left>
      <right/>
      <top style="thin">
        <color indexed="64"/>
      </top>
      <bottom/>
      <diagonal/>
    </border>
    <border>
      <left/>
      <right style="thin">
        <color rgb="FF777777"/>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777777"/>
      </right>
      <top/>
      <bottom style="thin">
        <color rgb="FF777777"/>
      </bottom>
      <diagonal/>
    </border>
    <border>
      <left style="thin">
        <color rgb="FF777777"/>
      </left>
      <right style="thin">
        <color indexed="64"/>
      </right>
      <top/>
      <bottom style="thin">
        <color rgb="FF777777"/>
      </bottom>
      <diagonal/>
    </border>
    <border>
      <left style="thin">
        <color indexed="64"/>
      </left>
      <right style="thin">
        <color rgb="FF777777"/>
      </right>
      <top style="thin">
        <color rgb="FF777777"/>
      </top>
      <bottom style="thin">
        <color rgb="FF777777"/>
      </bottom>
      <diagonal/>
    </border>
    <border>
      <left style="thin">
        <color indexed="64"/>
      </left>
      <right style="thin">
        <color rgb="FF777777"/>
      </right>
      <top style="thin">
        <color rgb="FF777777"/>
      </top>
      <bottom style="thin">
        <color indexed="64"/>
      </bottom>
      <diagonal/>
    </border>
    <border>
      <left style="thin">
        <color rgb="FF777777"/>
      </left>
      <right style="thin">
        <color rgb="FF777777"/>
      </right>
      <top style="thin">
        <color rgb="FF777777"/>
      </top>
      <bottom style="thin">
        <color indexed="64"/>
      </bottom>
      <diagonal/>
    </border>
    <border>
      <left style="thin">
        <color rgb="FF777777"/>
      </left>
      <right style="thin">
        <color indexed="64"/>
      </right>
      <top style="thin">
        <color rgb="FF777777"/>
      </top>
      <bottom style="thin">
        <color indexed="64"/>
      </bottom>
      <diagonal/>
    </border>
    <border>
      <left style="thin">
        <color rgb="FF777777"/>
      </left>
      <right/>
      <top/>
      <bottom style="thin">
        <color rgb="FF7030A0"/>
      </bottom>
      <diagonal/>
    </border>
    <border>
      <left/>
      <right/>
      <top/>
      <bottom style="thin">
        <color rgb="FF7030A0"/>
      </bottom>
      <diagonal/>
    </border>
    <border>
      <left/>
      <right style="thin">
        <color rgb="FF777777"/>
      </right>
      <top/>
      <bottom style="thin">
        <color rgb="FF7030A0"/>
      </bottom>
      <diagonal/>
    </border>
    <border>
      <left/>
      <right style="thin">
        <color rgb="FF777777"/>
      </right>
      <top/>
      <bottom style="thin">
        <color rgb="FF777777"/>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777777"/>
      </top>
      <bottom style="thin">
        <color rgb="FF777777"/>
      </bottom>
      <diagonal/>
    </border>
    <border>
      <left style="thin">
        <color rgb="FF777777"/>
      </left>
      <right/>
      <top/>
      <bottom style="thin">
        <color rgb="FF777777"/>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rgb="FF7030A0"/>
      </bottom>
      <diagonal/>
    </border>
    <border>
      <left/>
      <right style="thin">
        <color theme="0" tint="-0.34998626667073579"/>
      </right>
      <top/>
      <bottom style="thin">
        <color rgb="FF7030A0"/>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rgb="FF777777"/>
      </right>
      <top style="thin">
        <color rgb="FF777777"/>
      </top>
      <bottom style="thin">
        <color rgb="FF777777"/>
      </bottom>
      <diagonal/>
    </border>
    <border>
      <left style="thin">
        <color rgb="FF777777"/>
      </left>
      <right style="thin">
        <color theme="0" tint="-0.34998626667073579"/>
      </right>
      <top style="thin">
        <color rgb="FF777777"/>
      </top>
      <bottom style="thin">
        <color rgb="FF777777"/>
      </bottom>
      <diagonal/>
    </border>
    <border>
      <left style="thin">
        <color theme="0" tint="-0.34998626667073579"/>
      </left>
      <right style="thin">
        <color rgb="FF777777"/>
      </right>
      <top style="thin">
        <color rgb="FF777777"/>
      </top>
      <bottom style="thin">
        <color theme="0" tint="-0.34998626667073579"/>
      </bottom>
      <diagonal/>
    </border>
    <border>
      <left style="thin">
        <color rgb="FF777777"/>
      </left>
      <right style="thin">
        <color rgb="FF777777"/>
      </right>
      <top style="thin">
        <color rgb="FF777777"/>
      </top>
      <bottom style="thin">
        <color theme="0" tint="-0.34998626667073579"/>
      </bottom>
      <diagonal/>
    </border>
    <border>
      <left style="thin">
        <color rgb="FF777777"/>
      </left>
      <right style="thin">
        <color theme="0" tint="-0.34998626667073579"/>
      </right>
      <top style="thin">
        <color rgb="FF777777"/>
      </top>
      <bottom style="thin">
        <color theme="0" tint="-0.34998626667073579"/>
      </bottom>
      <diagonal/>
    </border>
    <border>
      <left style="thin">
        <color theme="0" tint="-0.34998626667073579"/>
      </left>
      <right style="thin">
        <color rgb="FF777777"/>
      </right>
      <top/>
      <bottom style="thin">
        <color rgb="FF777777"/>
      </bottom>
      <diagonal/>
    </border>
    <border>
      <left style="thin">
        <color rgb="FF777777"/>
      </left>
      <right style="thin">
        <color theme="0" tint="-0.34998626667073579"/>
      </right>
      <top/>
      <bottom style="thin">
        <color rgb="FF777777"/>
      </bottom>
      <diagonal/>
    </border>
  </borders>
  <cellStyleXfs count="6">
    <xf numFmtId="0" fontId="0" fillId="0" borderId="0" applyBorder="0"/>
    <xf numFmtId="9" fontId="1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cellStyleXfs>
  <cellXfs count="363">
    <xf numFmtId="0" fontId="0" fillId="0" borderId="0" xfId="0"/>
    <xf numFmtId="0" fontId="3" fillId="3" borderId="0" xfId="0" applyFont="1" applyFill="1"/>
    <xf numFmtId="165" fontId="3" fillId="3" borderId="0" xfId="0" applyNumberFormat="1" applyFont="1" applyFill="1"/>
    <xf numFmtId="164" fontId="3" fillId="3" borderId="0" xfId="0" applyNumberFormat="1" applyFont="1" applyFill="1"/>
    <xf numFmtId="2" fontId="3" fillId="3" borderId="0" xfId="0" applyNumberFormat="1" applyFont="1" applyFill="1"/>
    <xf numFmtId="165" fontId="6" fillId="6" borderId="1" xfId="0" applyNumberFormat="1" applyFont="1" applyFill="1" applyBorder="1" applyAlignment="1">
      <alignment horizontal="center" vertical="center" wrapText="1"/>
    </xf>
    <xf numFmtId="0" fontId="3" fillId="4" borderId="1" xfId="0" applyFont="1" applyFill="1" applyBorder="1" applyAlignment="1">
      <alignment horizontal="center"/>
    </xf>
    <xf numFmtId="165" fontId="3" fillId="4" borderId="1" xfId="0" applyNumberFormat="1" applyFont="1" applyFill="1" applyBorder="1"/>
    <xf numFmtId="0" fontId="5" fillId="6" borderId="1" xfId="0" applyFont="1" applyFill="1" applyBorder="1" applyAlignment="1">
      <alignment horizontal="center" wrapText="1"/>
    </xf>
    <xf numFmtId="1" fontId="5" fillId="6" borderId="1" xfId="0" applyNumberFormat="1" applyFont="1" applyFill="1" applyBorder="1" applyAlignment="1">
      <alignment horizontal="center" wrapText="1"/>
    </xf>
    <xf numFmtId="164" fontId="5" fillId="6" borderId="1" xfId="0" applyNumberFormat="1" applyFont="1" applyFill="1" applyBorder="1" applyAlignment="1">
      <alignment horizontal="center" wrapText="1"/>
    </xf>
    <xf numFmtId="1" fontId="3" fillId="4" borderId="1" xfId="0" applyNumberFormat="1" applyFont="1" applyFill="1" applyBorder="1" applyAlignment="1">
      <alignment horizontal="center"/>
    </xf>
    <xf numFmtId="164" fontId="3" fillId="7" borderId="1" xfId="0" applyNumberFormat="1" applyFont="1" applyFill="1" applyBorder="1" applyAlignment="1" applyProtection="1">
      <alignment horizontal="center"/>
      <protection locked="0"/>
    </xf>
    <xf numFmtId="2" fontId="5" fillId="6" borderId="1" xfId="0" applyNumberFormat="1" applyFont="1" applyFill="1" applyBorder="1" applyAlignment="1">
      <alignment horizontal="center" wrapText="1"/>
    </xf>
    <xf numFmtId="0" fontId="3" fillId="6" borderId="1" xfId="0" applyFont="1" applyFill="1" applyBorder="1"/>
    <xf numFmtId="165" fontId="3" fillId="6" borderId="1" xfId="0" applyNumberFormat="1" applyFont="1" applyFill="1" applyBorder="1"/>
    <xf numFmtId="164" fontId="3" fillId="6" borderId="1" xfId="0" applyNumberFormat="1" applyFont="1" applyFill="1" applyBorder="1"/>
    <xf numFmtId="2" fontId="3" fillId="6" borderId="1" xfId="0" applyNumberFormat="1" applyFont="1" applyFill="1" applyBorder="1"/>
    <xf numFmtId="0" fontId="8" fillId="3" borderId="0" xfId="0" applyFont="1" applyFill="1" applyBorder="1"/>
    <xf numFmtId="0" fontId="8" fillId="3" borderId="0" xfId="0" applyFont="1" applyFill="1" applyBorder="1" applyAlignment="1">
      <alignment vertical="center"/>
    </xf>
    <xf numFmtId="0" fontId="8" fillId="3" borderId="0" xfId="0" applyFont="1" applyFill="1" applyBorder="1" applyAlignment="1">
      <alignment vertical="top"/>
    </xf>
    <xf numFmtId="164" fontId="3" fillId="3" borderId="0" xfId="0" applyNumberFormat="1" applyFont="1" applyFill="1" applyBorder="1"/>
    <xf numFmtId="165" fontId="3" fillId="3" borderId="9" xfId="0" applyNumberFormat="1" applyFont="1" applyFill="1" applyBorder="1"/>
    <xf numFmtId="165" fontId="3" fillId="6" borderId="9" xfId="0" applyNumberFormat="1" applyFont="1" applyFill="1" applyBorder="1"/>
    <xf numFmtId="165" fontId="3" fillId="3" borderId="0" xfId="0" applyNumberFormat="1" applyFont="1" applyFill="1" applyBorder="1"/>
    <xf numFmtId="0" fontId="3" fillId="3" borderId="0" xfId="0" applyFont="1" applyFill="1" applyBorder="1" applyAlignment="1">
      <alignment vertical="center" wrapText="1"/>
    </xf>
    <xf numFmtId="0" fontId="3" fillId="3" borderId="0" xfId="0" applyFont="1" applyFill="1" applyBorder="1" applyAlignment="1">
      <alignment vertical="top" wrapText="1"/>
    </xf>
    <xf numFmtId="10" fontId="6" fillId="6" borderId="1" xfId="0" applyNumberFormat="1" applyFont="1" applyFill="1" applyBorder="1" applyAlignment="1">
      <alignment horizontal="center" vertical="center" wrapText="1"/>
    </xf>
    <xf numFmtId="10" fontId="3" fillId="3" borderId="1" xfId="0" applyNumberFormat="1" applyFont="1" applyFill="1" applyBorder="1"/>
    <xf numFmtId="0" fontId="0" fillId="0" borderId="0" xfId="0" applyAlignment="1">
      <alignment horizontal="center"/>
    </xf>
    <xf numFmtId="0" fontId="3" fillId="3" borderId="0" xfId="0" applyFont="1" applyFill="1" applyBorder="1"/>
    <xf numFmtId="0" fontId="3" fillId="4" borderId="1" xfId="0" applyFont="1" applyFill="1" applyBorder="1" applyAlignment="1">
      <alignment horizontal="center" vertical="center"/>
    </xf>
    <xf numFmtId="0" fontId="0" fillId="10" borderId="0" xfId="0" applyFill="1"/>
    <xf numFmtId="0" fontId="0" fillId="10" borderId="0" xfId="0" applyFill="1" applyAlignment="1">
      <alignment horizontal="center"/>
    </xf>
    <xf numFmtId="0" fontId="3" fillId="10" borderId="0" xfId="0" applyFont="1" applyFill="1"/>
    <xf numFmtId="1" fontId="3" fillId="10" borderId="0" xfId="0" applyNumberFormat="1" applyFont="1" applyFill="1"/>
    <xf numFmtId="165" fontId="3" fillId="6" borderId="1" xfId="0" applyNumberFormat="1" applyFont="1" applyFill="1" applyBorder="1" applyProtection="1">
      <protection hidden="1"/>
    </xf>
    <xf numFmtId="2" fontId="3" fillId="4" borderId="7" xfId="0" applyNumberFormat="1" applyFont="1" applyFill="1" applyBorder="1" applyAlignment="1" applyProtection="1">
      <alignment horizontal="center"/>
      <protection hidden="1"/>
    </xf>
    <xf numFmtId="0" fontId="4" fillId="3" borderId="0" xfId="0" applyFont="1" applyFill="1" applyBorder="1" applyAlignment="1">
      <alignment horizontal="center"/>
    </xf>
    <xf numFmtId="1" fontId="3" fillId="3" borderId="0" xfId="0" applyNumberFormat="1" applyFont="1" applyFill="1" applyAlignment="1">
      <alignment horizontal="right"/>
    </xf>
    <xf numFmtId="1" fontId="3" fillId="6" borderId="1" xfId="0" applyNumberFormat="1" applyFont="1" applyFill="1" applyBorder="1" applyAlignment="1" applyProtection="1">
      <alignment horizontal="right"/>
      <protection hidden="1"/>
    </xf>
    <xf numFmtId="0" fontId="7" fillId="3" borderId="0" xfId="0" applyFont="1" applyFill="1" applyBorder="1" applyAlignment="1">
      <alignment vertical="center" wrapText="1"/>
    </xf>
    <xf numFmtId="10" fontId="5" fillId="5" borderId="1" xfId="0" applyNumberFormat="1" applyFont="1" applyFill="1" applyBorder="1"/>
    <xf numFmtId="165" fontId="5" fillId="5" borderId="1" xfId="0" applyNumberFormat="1" applyFont="1" applyFill="1" applyBorder="1"/>
    <xf numFmtId="0" fontId="8" fillId="3" borderId="25" xfId="0" applyFont="1" applyFill="1" applyBorder="1" applyAlignment="1">
      <alignment horizontal="left"/>
    </xf>
    <xf numFmtId="1" fontId="3" fillId="8" borderId="1" xfId="0" applyNumberFormat="1" applyFont="1" applyFill="1" applyBorder="1" applyAlignment="1" applyProtection="1">
      <alignment horizontal="center" vertical="center"/>
      <protection locked="0"/>
    </xf>
    <xf numFmtId="164" fontId="26" fillId="15" borderId="0" xfId="0" applyNumberFormat="1" applyFont="1" applyFill="1" applyAlignment="1">
      <alignment horizontal="center"/>
    </xf>
    <xf numFmtId="165" fontId="3" fillId="4" borderId="1" xfId="0" applyNumberFormat="1" applyFont="1" applyFill="1" applyBorder="1" applyAlignment="1">
      <alignment horizontal="center" vertical="center"/>
    </xf>
    <xf numFmtId="164" fontId="3" fillId="16" borderId="0" xfId="0" applyNumberFormat="1" applyFont="1" applyFill="1"/>
    <xf numFmtId="164" fontId="2" fillId="16" borderId="0" xfId="0" applyNumberFormat="1" applyFont="1" applyFill="1"/>
    <xf numFmtId="164" fontId="27" fillId="17" borderId="0" xfId="0" applyNumberFormat="1" applyFont="1" applyFill="1"/>
    <xf numFmtId="164" fontId="28" fillId="17" borderId="0" xfId="0" applyNumberFormat="1" applyFont="1" applyFill="1"/>
    <xf numFmtId="165" fontId="3" fillId="4" borderId="1" xfId="0" applyNumberFormat="1" applyFont="1" applyFill="1" applyBorder="1" applyAlignment="1" applyProtection="1">
      <alignment horizontal="center" vertical="center"/>
      <protection hidden="1"/>
    </xf>
    <xf numFmtId="168" fontId="3" fillId="10" borderId="1" xfId="0" applyNumberFormat="1" applyFont="1" applyFill="1" applyBorder="1" applyAlignment="1" applyProtection="1">
      <alignment horizontal="center" vertical="center"/>
      <protection hidden="1"/>
    </xf>
    <xf numFmtId="1" fontId="3" fillId="3" borderId="1" xfId="0" applyNumberFormat="1" applyFont="1" applyFill="1" applyBorder="1" applyAlignment="1">
      <alignment horizontal="center" vertical="center"/>
    </xf>
    <xf numFmtId="44" fontId="3" fillId="3" borderId="0" xfId="5" applyFont="1" applyFill="1" applyAlignment="1">
      <alignment horizontal="center" vertical="center"/>
    </xf>
    <xf numFmtId="164" fontId="3" fillId="4" borderId="1" xfId="0" applyNumberFormat="1" applyFont="1" applyFill="1" applyBorder="1" applyAlignment="1">
      <alignment horizontal="center" vertical="center"/>
    </xf>
    <xf numFmtId="0" fontId="3" fillId="0" borderId="1" xfId="0" applyFont="1" applyBorder="1" applyAlignment="1">
      <alignment horizontal="center" vertical="center"/>
    </xf>
    <xf numFmtId="165" fontId="3" fillId="11" borderId="13" xfId="0" applyNumberFormat="1" applyFont="1" applyFill="1" applyBorder="1" applyAlignment="1" applyProtection="1">
      <alignment horizontal="center" vertical="center"/>
      <protection hidden="1"/>
    </xf>
    <xf numFmtId="165" fontId="3" fillId="3" borderId="13" xfId="0" applyNumberFormat="1" applyFont="1" applyFill="1" applyBorder="1" applyAlignment="1" applyProtection="1">
      <alignment horizontal="center" vertical="center"/>
      <protection hidden="1"/>
    </xf>
    <xf numFmtId="167" fontId="3" fillId="10" borderId="1" xfId="0" applyNumberFormat="1" applyFont="1" applyFill="1" applyBorder="1" applyAlignment="1" applyProtection="1">
      <alignment horizontal="center" vertical="center"/>
      <protection hidden="1"/>
    </xf>
    <xf numFmtId="164" fontId="3" fillId="3" borderId="0" xfId="0" applyNumberFormat="1" applyFont="1" applyFill="1" applyBorder="1" applyAlignment="1">
      <alignment vertical="top" wrapText="1"/>
    </xf>
    <xf numFmtId="164" fontId="27" fillId="12" borderId="0" xfId="0" applyNumberFormat="1" applyFont="1" applyFill="1"/>
    <xf numFmtId="164" fontId="28" fillId="12" borderId="0" xfId="0" applyNumberFormat="1" applyFont="1" applyFill="1"/>
    <xf numFmtId="0" fontId="21" fillId="3" borderId="15" xfId="0" applyFont="1" applyFill="1" applyBorder="1" applyAlignment="1">
      <alignment vertical="top" wrapText="1"/>
    </xf>
    <xf numFmtId="0" fontId="21" fillId="3" borderId="0" xfId="0" applyFont="1" applyFill="1" applyBorder="1" applyAlignment="1">
      <alignment vertical="top" wrapText="1"/>
    </xf>
    <xf numFmtId="0" fontId="21" fillId="3" borderId="0" xfId="0" applyFont="1" applyFill="1" applyAlignment="1">
      <alignment vertical="top" wrapText="1"/>
    </xf>
    <xf numFmtId="1" fontId="3" fillId="13" borderId="1" xfId="0" applyNumberFormat="1" applyFont="1" applyFill="1" applyBorder="1" applyAlignment="1" applyProtection="1">
      <alignment horizontal="center" vertical="center"/>
      <protection locked="0"/>
    </xf>
    <xf numFmtId="164" fontId="3" fillId="13" borderId="1" xfId="0" applyNumberFormat="1" applyFont="1" applyFill="1" applyBorder="1" applyAlignment="1" applyProtection="1">
      <alignment horizontal="center" vertical="center"/>
      <protection locked="0"/>
    </xf>
    <xf numFmtId="2" fontId="3" fillId="13" borderId="1" xfId="0" applyNumberFormat="1" applyFont="1" applyFill="1" applyBorder="1" applyAlignment="1" applyProtection="1">
      <alignment horizontal="center" vertical="center"/>
      <protection locked="0"/>
    </xf>
    <xf numFmtId="165" fontId="6" fillId="6" borderId="14" xfId="0" applyNumberFormat="1" applyFont="1" applyFill="1" applyBorder="1" applyAlignment="1">
      <alignment horizontal="center" vertical="center" wrapText="1"/>
    </xf>
    <xf numFmtId="165" fontId="6" fillId="6" borderId="16" xfId="0" applyNumberFormat="1" applyFont="1" applyFill="1" applyBorder="1" applyAlignment="1">
      <alignment horizontal="center" vertical="center" wrapText="1"/>
    </xf>
    <xf numFmtId="10" fontId="6" fillId="6" borderId="16" xfId="0" applyNumberFormat="1" applyFont="1" applyFill="1" applyBorder="1" applyAlignment="1">
      <alignment horizontal="center" vertical="center" wrapText="1"/>
    </xf>
    <xf numFmtId="10" fontId="17" fillId="6" borderId="16" xfId="0" applyNumberFormat="1" applyFont="1" applyFill="1" applyBorder="1" applyAlignment="1">
      <alignment horizontal="center" vertical="center" wrapText="1"/>
    </xf>
    <xf numFmtId="10" fontId="18" fillId="6" borderId="24" xfId="0" applyNumberFormat="1" applyFont="1" applyFill="1" applyBorder="1" applyAlignment="1">
      <alignment horizontal="center" vertical="center" wrapText="1"/>
    </xf>
    <xf numFmtId="0" fontId="3" fillId="4" borderId="33"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4" borderId="33" xfId="0" applyFont="1" applyFill="1" applyBorder="1" applyAlignment="1" applyProtection="1">
      <alignment vertical="center" wrapText="1"/>
      <protection locked="0"/>
    </xf>
    <xf numFmtId="0" fontId="3" fillId="4" borderId="29" xfId="0" applyFont="1" applyFill="1" applyBorder="1" applyAlignment="1" applyProtection="1">
      <alignment vertical="center" wrapText="1"/>
      <protection locked="0"/>
    </xf>
    <xf numFmtId="0" fontId="3" fillId="4" borderId="30"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3" fillId="4" borderId="29" xfId="0" applyFont="1" applyFill="1" applyBorder="1" applyAlignment="1" applyProtection="1">
      <alignment horizontal="center" vertical="center" wrapText="1"/>
      <protection locked="0"/>
    </xf>
    <xf numFmtId="1" fontId="3" fillId="3" borderId="0" xfId="0" applyNumberFormat="1" applyFont="1" applyFill="1" applyAlignment="1">
      <alignment horizontal="center" wrapText="1"/>
    </xf>
    <xf numFmtId="169" fontId="3" fillId="3" borderId="13" xfId="0" applyNumberFormat="1" applyFont="1" applyFill="1" applyBorder="1" applyAlignment="1">
      <alignment horizontal="center" vertical="center"/>
    </xf>
    <xf numFmtId="10" fontId="3" fillId="3" borderId="13" xfId="1" applyNumberFormat="1" applyFont="1" applyFill="1" applyBorder="1" applyAlignment="1">
      <alignment horizontal="center" vertical="center"/>
    </xf>
    <xf numFmtId="10" fontId="3" fillId="3" borderId="13" xfId="0" applyNumberFormat="1" applyFont="1" applyFill="1" applyBorder="1" applyAlignment="1">
      <alignment horizontal="center" vertical="center"/>
    </xf>
    <xf numFmtId="2" fontId="3" fillId="10" borderId="1" xfId="0" applyNumberFormat="1" applyFont="1" applyFill="1" applyBorder="1" applyAlignment="1" applyProtection="1">
      <alignment horizontal="center" vertical="center"/>
      <protection hidden="1"/>
    </xf>
    <xf numFmtId="9" fontId="6" fillId="6" borderId="1" xfId="1" applyFont="1" applyFill="1" applyBorder="1" applyAlignment="1">
      <alignment horizontal="center" vertical="center" wrapText="1"/>
    </xf>
    <xf numFmtId="165" fontId="3" fillId="6" borderId="1" xfId="0" applyNumberFormat="1" applyFont="1" applyFill="1" applyBorder="1" applyAlignment="1" applyProtection="1">
      <alignment horizontal="center"/>
      <protection hidden="1"/>
    </xf>
    <xf numFmtId="0" fontId="3" fillId="11" borderId="14" xfId="0" applyFont="1" applyFill="1" applyBorder="1" applyAlignment="1">
      <alignment vertical="center"/>
    </xf>
    <xf numFmtId="0" fontId="3" fillId="11" borderId="24" xfId="0" applyFont="1" applyFill="1" applyBorder="1" applyAlignment="1">
      <alignment vertical="center"/>
    </xf>
    <xf numFmtId="0" fontId="3" fillId="3" borderId="24" xfId="0" applyFont="1" applyFill="1" applyBorder="1" applyAlignment="1">
      <alignment vertical="center"/>
    </xf>
    <xf numFmtId="1" fontId="3" fillId="10" borderId="1" xfId="0" applyNumberFormat="1" applyFont="1" applyFill="1" applyBorder="1" applyAlignment="1" applyProtection="1">
      <alignment horizontal="center" vertical="center"/>
      <protection locked="0"/>
    </xf>
    <xf numFmtId="0" fontId="22" fillId="10" borderId="20" xfId="0" applyFont="1" applyFill="1" applyBorder="1"/>
    <xf numFmtId="0" fontId="6" fillId="10" borderId="0" xfId="0" applyFont="1" applyFill="1" applyBorder="1"/>
    <xf numFmtId="0" fontId="6" fillId="10" borderId="0" xfId="0" applyFont="1" applyFill="1" applyBorder="1" applyAlignment="1">
      <alignment horizontal="center"/>
    </xf>
    <xf numFmtId="165" fontId="7" fillId="3" borderId="0" xfId="0" applyNumberFormat="1" applyFont="1" applyFill="1"/>
    <xf numFmtId="164" fontId="3" fillId="4" borderId="12" xfId="0" applyNumberFormat="1" applyFont="1" applyFill="1" applyBorder="1" applyAlignment="1">
      <alignment horizontal="center" vertical="center"/>
    </xf>
    <xf numFmtId="1" fontId="3" fillId="8" borderId="10" xfId="0" applyNumberFormat="1" applyFont="1" applyFill="1" applyBorder="1" applyAlignment="1" applyProtection="1">
      <alignment horizontal="center" vertical="center"/>
      <protection locked="0"/>
    </xf>
    <xf numFmtId="44" fontId="3" fillId="3" borderId="13" xfId="5" applyFont="1" applyFill="1" applyBorder="1" applyAlignment="1">
      <alignment horizontal="center" vertical="center"/>
    </xf>
    <xf numFmtId="164" fontId="3" fillId="4" borderId="21" xfId="0" applyNumberFormat="1" applyFont="1" applyFill="1" applyBorder="1" applyAlignment="1">
      <alignment horizontal="center" vertical="center"/>
    </xf>
    <xf numFmtId="164" fontId="3" fillId="9" borderId="1" xfId="0" applyNumberFormat="1" applyFont="1" applyFill="1" applyBorder="1" applyAlignment="1">
      <alignment horizontal="center"/>
    </xf>
    <xf numFmtId="166" fontId="3" fillId="4" borderId="1" xfId="0" applyNumberFormat="1" applyFont="1" applyFill="1" applyBorder="1" applyAlignment="1">
      <alignment horizontal="center" vertical="center"/>
    </xf>
    <xf numFmtId="9" fontId="3" fillId="11" borderId="13" xfId="1" applyFont="1" applyFill="1" applyBorder="1" applyAlignment="1" applyProtection="1">
      <alignment horizontal="center" vertical="center"/>
      <protection hidden="1"/>
    </xf>
    <xf numFmtId="0" fontId="3" fillId="4" borderId="0" xfId="0" applyFont="1" applyFill="1" applyBorder="1" applyAlignment="1">
      <alignment horizontal="left" vertical="center" indent="1"/>
    </xf>
    <xf numFmtId="0" fontId="3" fillId="4" borderId="0" xfId="0" applyFont="1" applyFill="1" applyBorder="1"/>
    <xf numFmtId="1" fontId="3" fillId="10" borderId="0" xfId="0" applyNumberFormat="1" applyFont="1" applyFill="1" applyBorder="1" applyAlignment="1" applyProtection="1">
      <alignment horizontal="center" vertical="center"/>
      <protection locked="0"/>
    </xf>
    <xf numFmtId="165" fontId="19" fillId="4" borderId="0" xfId="0" applyNumberFormat="1" applyFont="1" applyFill="1" applyBorder="1"/>
    <xf numFmtId="165" fontId="3" fillId="4" borderId="0" xfId="0" applyNumberFormat="1" applyFont="1" applyFill="1" applyBorder="1"/>
    <xf numFmtId="0" fontId="3" fillId="3" borderId="12"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9" fontId="3" fillId="3" borderId="9" xfId="1" applyFont="1" applyFill="1" applyBorder="1"/>
    <xf numFmtId="170" fontId="3" fillId="3" borderId="9" xfId="0" applyNumberFormat="1" applyFont="1" applyFill="1" applyBorder="1"/>
    <xf numFmtId="166" fontId="3" fillId="0" borderId="9" xfId="5" applyNumberFormat="1" applyFont="1" applyBorder="1"/>
    <xf numFmtId="0" fontId="25" fillId="3" borderId="34" xfId="0" applyFont="1" applyFill="1" applyBorder="1" applyAlignment="1">
      <alignment vertical="center" wrapText="1"/>
    </xf>
    <xf numFmtId="0" fontId="5" fillId="22" borderId="21" xfId="0" applyFont="1" applyFill="1" applyBorder="1" applyAlignment="1">
      <alignment horizontal="center" wrapText="1"/>
    </xf>
    <xf numFmtId="0" fontId="3" fillId="21" borderId="1" xfId="0" applyFont="1" applyFill="1" applyBorder="1" applyAlignment="1">
      <alignment horizontal="center"/>
    </xf>
    <xf numFmtId="0" fontId="3" fillId="23" borderId="1" xfId="0" applyFont="1" applyFill="1" applyBorder="1" applyAlignment="1">
      <alignment horizontal="center"/>
    </xf>
    <xf numFmtId="0" fontId="5" fillId="22" borderId="42" xfId="0" applyFont="1" applyFill="1" applyBorder="1" applyAlignment="1">
      <alignment horizontal="center" wrapText="1"/>
    </xf>
    <xf numFmtId="0" fontId="5" fillId="22" borderId="43" xfId="0" applyFont="1" applyFill="1" applyBorder="1" applyAlignment="1">
      <alignment horizontal="center" wrapText="1"/>
    </xf>
    <xf numFmtId="0" fontId="3" fillId="21" borderId="44" xfId="0" applyFont="1" applyFill="1" applyBorder="1" applyAlignment="1">
      <alignment horizontal="center"/>
    </xf>
    <xf numFmtId="0" fontId="3" fillId="21" borderId="7" xfId="0" applyFont="1" applyFill="1" applyBorder="1" applyAlignment="1">
      <alignment horizontal="center"/>
    </xf>
    <xf numFmtId="0" fontId="3" fillId="21" borderId="45" xfId="0" applyFont="1" applyFill="1" applyBorder="1" applyAlignment="1">
      <alignment horizontal="center"/>
    </xf>
    <xf numFmtId="0" fontId="3" fillId="21" borderId="46" xfId="0" applyFont="1" applyFill="1" applyBorder="1" applyAlignment="1">
      <alignment horizontal="center"/>
    </xf>
    <xf numFmtId="0" fontId="3" fillId="23" borderId="46" xfId="0" applyFont="1" applyFill="1" applyBorder="1" applyAlignment="1">
      <alignment horizontal="center"/>
    </xf>
    <xf numFmtId="0" fontId="3" fillId="21" borderId="47" xfId="0" applyFont="1" applyFill="1" applyBorder="1" applyAlignment="1">
      <alignment horizontal="center"/>
    </xf>
    <xf numFmtId="165" fontId="3" fillId="24" borderId="0" xfId="0" applyNumberFormat="1" applyFont="1" applyFill="1"/>
    <xf numFmtId="164" fontId="3" fillId="24" borderId="0" xfId="0" applyNumberFormat="1" applyFont="1" applyFill="1"/>
    <xf numFmtId="2" fontId="3" fillId="24" borderId="0" xfId="0" applyNumberFormat="1" applyFont="1" applyFill="1"/>
    <xf numFmtId="0" fontId="3" fillId="21" borderId="40" xfId="0" applyFont="1" applyFill="1" applyBorder="1"/>
    <xf numFmtId="0" fontId="3" fillId="21" borderId="22" xfId="0" applyFont="1" applyFill="1" applyBorder="1"/>
    <xf numFmtId="0" fontId="3" fillId="21" borderId="41" xfId="0" applyFont="1" applyFill="1" applyBorder="1"/>
    <xf numFmtId="0" fontId="3" fillId="4" borderId="21" xfId="0" applyFont="1" applyFill="1" applyBorder="1"/>
    <xf numFmtId="1" fontId="3" fillId="4" borderId="21" xfId="0" applyNumberFormat="1" applyFont="1" applyFill="1" applyBorder="1"/>
    <xf numFmtId="164" fontId="3" fillId="4" borderId="21" xfId="0" applyNumberFormat="1" applyFont="1" applyFill="1" applyBorder="1"/>
    <xf numFmtId="0" fontId="5" fillId="6" borderId="1" xfId="0" applyFont="1" applyFill="1" applyBorder="1" applyAlignment="1">
      <alignment horizontal="center" vertical="center"/>
    </xf>
    <xf numFmtId="0" fontId="3" fillId="3" borderId="0" xfId="0" applyFont="1" applyFill="1" applyAlignment="1">
      <alignment horizontal="center" vertical="center"/>
    </xf>
    <xf numFmtId="0" fontId="3" fillId="10" borderId="9" xfId="0" applyFont="1" applyFill="1" applyBorder="1" applyAlignment="1">
      <alignment horizontal="center" vertical="center" wrapText="1"/>
    </xf>
    <xf numFmtId="0" fontId="3" fillId="10" borderId="9"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54" xfId="0" applyFont="1" applyFill="1" applyBorder="1" applyAlignment="1">
      <alignment horizontal="center" vertical="center" wrapText="1"/>
    </xf>
    <xf numFmtId="6" fontId="3" fillId="10" borderId="9" xfId="0" applyNumberFormat="1"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9" borderId="9" xfId="0" applyFont="1" applyFill="1" applyBorder="1" applyAlignment="1">
      <alignment horizontal="center" vertical="center" wrapText="1"/>
    </xf>
    <xf numFmtId="1" fontId="3" fillId="3" borderId="17" xfId="0" applyNumberFormat="1" applyFont="1" applyFill="1" applyBorder="1" applyAlignment="1">
      <alignment horizontal="center" vertical="center"/>
    </xf>
    <xf numFmtId="44" fontId="3" fillId="3" borderId="52" xfId="5" applyFont="1" applyFill="1" applyBorder="1" applyAlignment="1">
      <alignment horizontal="center" vertical="center"/>
    </xf>
    <xf numFmtId="1" fontId="3" fillId="8" borderId="21" xfId="0" applyNumberFormat="1" applyFont="1" applyFill="1" applyBorder="1" applyAlignment="1" applyProtection="1">
      <alignment horizontal="center" vertical="center"/>
      <protection locked="0"/>
    </xf>
    <xf numFmtId="1" fontId="3" fillId="3" borderId="13" xfId="0" applyNumberFormat="1" applyFont="1" applyFill="1" applyBorder="1" applyAlignment="1">
      <alignment horizontal="center" vertical="center"/>
    </xf>
    <xf numFmtId="164" fontId="3" fillId="4" borderId="56" xfId="0" applyNumberFormat="1" applyFont="1" applyFill="1" applyBorder="1" applyAlignment="1">
      <alignment horizontal="center" vertical="center"/>
    </xf>
    <xf numFmtId="44" fontId="3" fillId="3" borderId="54" xfId="5" applyFont="1" applyFill="1" applyBorder="1" applyAlignment="1">
      <alignment horizontal="center" vertical="center"/>
    </xf>
    <xf numFmtId="164" fontId="3" fillId="4" borderId="8" xfId="0" applyNumberFormat="1"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3" fillId="4" borderId="19" xfId="0" applyNumberFormat="1" applyFont="1" applyFill="1" applyBorder="1" applyAlignment="1">
      <alignment horizontal="center" vertical="center"/>
    </xf>
    <xf numFmtId="44" fontId="3" fillId="3" borderId="53" xfId="5" applyFont="1" applyFill="1" applyBorder="1" applyAlignment="1">
      <alignment horizontal="center" vertical="center"/>
    </xf>
    <xf numFmtId="44" fontId="3" fillId="10" borderId="1" xfId="0" applyNumberFormat="1" applyFont="1" applyFill="1" applyBorder="1" applyAlignment="1" applyProtection="1">
      <alignment horizontal="center" vertical="center"/>
      <protection locked="0"/>
    </xf>
    <xf numFmtId="1" fontId="3" fillId="10" borderId="21" xfId="0" applyNumberFormat="1" applyFont="1" applyFill="1" applyBorder="1" applyAlignment="1" applyProtection="1">
      <alignment horizontal="center" vertical="center"/>
      <protection locked="0"/>
    </xf>
    <xf numFmtId="44" fontId="3" fillId="10" borderId="21" xfId="0" applyNumberFormat="1" applyFont="1" applyFill="1" applyBorder="1" applyAlignment="1" applyProtection="1">
      <alignment horizontal="center" vertical="center"/>
      <protection locked="0"/>
    </xf>
    <xf numFmtId="1" fontId="3" fillId="8" borderId="9" xfId="0" applyNumberFormat="1" applyFont="1" applyFill="1" applyBorder="1" applyAlignment="1" applyProtection="1">
      <alignment horizontal="center" vertical="center"/>
      <protection locked="0"/>
    </xf>
    <xf numFmtId="1" fontId="3" fillId="3" borderId="10" xfId="0" applyNumberFormat="1" applyFont="1" applyFill="1" applyBorder="1" applyAlignment="1">
      <alignment horizontal="center" vertical="center"/>
    </xf>
    <xf numFmtId="1" fontId="3" fillId="8" borderId="8" xfId="0" applyNumberFormat="1" applyFont="1" applyFill="1" applyBorder="1" applyAlignment="1" applyProtection="1">
      <alignment horizontal="center" vertical="center"/>
      <protection locked="0"/>
    </xf>
    <xf numFmtId="6" fontId="3" fillId="3" borderId="14" xfId="5" applyNumberFormat="1" applyFont="1" applyFill="1" applyBorder="1" applyAlignment="1">
      <alignment horizontal="center" vertical="center"/>
    </xf>
    <xf numFmtId="1" fontId="3" fillId="8" borderId="13" xfId="0" applyNumberFormat="1" applyFont="1" applyFill="1" applyBorder="1" applyAlignment="1" applyProtection="1">
      <alignment horizontal="center" vertical="center"/>
      <protection locked="0"/>
    </xf>
    <xf numFmtId="0" fontId="3" fillId="4" borderId="10" xfId="0" applyFont="1" applyFill="1" applyBorder="1" applyAlignment="1">
      <alignment horizontal="center" vertical="center"/>
    </xf>
    <xf numFmtId="1" fontId="3" fillId="10" borderId="10" xfId="0" applyNumberFormat="1" applyFont="1" applyFill="1" applyBorder="1" applyAlignment="1" applyProtection="1">
      <alignment horizontal="center" vertical="center"/>
      <protection locked="0"/>
    </xf>
    <xf numFmtId="165" fontId="3" fillId="4" borderId="10" xfId="0" applyNumberFormat="1" applyFont="1" applyFill="1" applyBorder="1"/>
    <xf numFmtId="0" fontId="3" fillId="4" borderId="21" xfId="0" applyFont="1" applyFill="1" applyBorder="1" applyAlignment="1">
      <alignment horizontal="center" vertical="center"/>
    </xf>
    <xf numFmtId="0" fontId="3" fillId="10" borderId="0" xfId="0" applyFont="1" applyFill="1" applyBorder="1" applyAlignment="1">
      <alignment horizontal="center" vertical="center"/>
    </xf>
    <xf numFmtId="165" fontId="19" fillId="10" borderId="0" xfId="0" applyNumberFormat="1" applyFont="1" applyFill="1" applyBorder="1"/>
    <xf numFmtId="165" fontId="3" fillId="10" borderId="0" xfId="0" applyNumberFormat="1" applyFont="1" applyFill="1" applyBorder="1"/>
    <xf numFmtId="0" fontId="3" fillId="4" borderId="57" xfId="0" applyFont="1" applyFill="1" applyBorder="1" applyAlignment="1">
      <alignment horizontal="center" vertical="center"/>
    </xf>
    <xf numFmtId="1" fontId="3" fillId="10" borderId="57" xfId="0" applyNumberFormat="1" applyFont="1" applyFill="1" applyBorder="1" applyAlignment="1" applyProtection="1">
      <alignment horizontal="center" vertical="center"/>
      <protection locked="0"/>
    </xf>
    <xf numFmtId="165" fontId="3" fillId="4" borderId="57" xfId="0" applyNumberFormat="1" applyFont="1" applyFill="1" applyBorder="1"/>
    <xf numFmtId="165" fontId="21" fillId="3" borderId="0" xfId="0" applyNumberFormat="1" applyFont="1" applyFill="1" applyAlignment="1">
      <alignment vertical="top" wrapText="1"/>
    </xf>
    <xf numFmtId="164" fontId="3" fillId="26" borderId="1" xfId="0" applyNumberFormat="1" applyFont="1" applyFill="1" applyBorder="1" applyAlignment="1" applyProtection="1">
      <alignment horizontal="center" vertical="center"/>
      <protection locked="0"/>
    </xf>
    <xf numFmtId="2" fontId="3" fillId="4" borderId="1" xfId="0" applyNumberFormat="1" applyFont="1" applyFill="1" applyBorder="1" applyAlignment="1" applyProtection="1">
      <alignment horizontal="center" vertical="center"/>
      <protection hidden="1"/>
    </xf>
    <xf numFmtId="2" fontId="3" fillId="0" borderId="1" xfId="0" applyNumberFormat="1" applyFont="1" applyBorder="1" applyAlignment="1" applyProtection="1">
      <alignment horizontal="center" vertical="center"/>
      <protection hidden="1"/>
    </xf>
    <xf numFmtId="2" fontId="3" fillId="25" borderId="1" xfId="0" applyNumberFormat="1" applyFont="1" applyFill="1" applyBorder="1" applyAlignment="1" applyProtection="1">
      <alignment horizontal="center" vertical="center"/>
      <protection locked="0"/>
    </xf>
    <xf numFmtId="2" fontId="3" fillId="26" borderId="1" xfId="0" applyNumberFormat="1" applyFont="1" applyFill="1" applyBorder="1" applyAlignment="1" applyProtection="1">
      <alignment horizontal="center" vertical="center"/>
      <protection locked="0"/>
    </xf>
    <xf numFmtId="172" fontId="3" fillId="0" borderId="1" xfId="0" applyNumberFormat="1" applyFont="1" applyBorder="1" applyAlignment="1" applyProtection="1">
      <alignment horizontal="center" vertical="center"/>
      <protection hidden="1"/>
    </xf>
    <xf numFmtId="0" fontId="3" fillId="25" borderId="1" xfId="0" applyFont="1" applyFill="1" applyBorder="1" applyAlignment="1" applyProtection="1">
      <alignment horizontal="center" vertical="center"/>
      <protection locked="0"/>
    </xf>
    <xf numFmtId="0" fontId="5" fillId="22" borderId="1" xfId="0" applyFont="1" applyFill="1" applyBorder="1" applyAlignment="1">
      <alignment horizontal="center" wrapText="1"/>
    </xf>
    <xf numFmtId="1" fontId="3" fillId="4" borderId="1" xfId="0" applyNumberFormat="1" applyFont="1" applyFill="1" applyBorder="1" applyAlignment="1">
      <alignment horizontal="center" vertical="center" wrapText="1"/>
    </xf>
    <xf numFmtId="164" fontId="3" fillId="7" borderId="1" xfId="0" applyNumberFormat="1" applyFont="1" applyFill="1" applyBorder="1" applyAlignment="1" applyProtection="1">
      <alignment horizontal="center" vertical="center"/>
      <protection locked="0"/>
    </xf>
    <xf numFmtId="1" fontId="31" fillId="3" borderId="0" xfId="0" applyNumberFormat="1" applyFont="1" applyFill="1"/>
    <xf numFmtId="165" fontId="30" fillId="10" borderId="0" xfId="0" applyNumberFormat="1" applyFont="1" applyFill="1" applyBorder="1" applyAlignment="1">
      <alignment vertical="center"/>
    </xf>
    <xf numFmtId="165" fontId="19" fillId="4" borderId="57" xfId="0" applyNumberFormat="1" applyFont="1" applyFill="1" applyBorder="1" applyAlignment="1">
      <alignment horizontal="center"/>
    </xf>
    <xf numFmtId="0" fontId="7" fillId="13" borderId="60" xfId="0" applyFont="1" applyFill="1" applyBorder="1" applyAlignment="1" applyProtection="1">
      <alignment horizontal="center" vertical="center"/>
      <protection locked="0"/>
    </xf>
    <xf numFmtId="0" fontId="3" fillId="21" borderId="68" xfId="0" applyFont="1" applyFill="1" applyBorder="1"/>
    <xf numFmtId="0" fontId="3" fillId="21" borderId="69" xfId="0" applyFont="1" applyFill="1" applyBorder="1"/>
    <xf numFmtId="0" fontId="5" fillId="6" borderId="70" xfId="0" applyFont="1" applyFill="1" applyBorder="1" applyAlignment="1">
      <alignment horizontal="left" wrapText="1" indent="1"/>
    </xf>
    <xf numFmtId="2" fontId="5" fillId="6" borderId="71" xfId="0" applyNumberFormat="1" applyFont="1" applyFill="1" applyBorder="1" applyAlignment="1">
      <alignment horizontal="center" wrapText="1"/>
    </xf>
    <xf numFmtId="0" fontId="3" fillId="4" borderId="70" xfId="0" applyFont="1" applyFill="1" applyBorder="1" applyAlignment="1">
      <alignment horizontal="center"/>
    </xf>
    <xf numFmtId="2" fontId="3" fillId="4" borderId="71" xfId="0" applyNumberFormat="1" applyFont="1" applyFill="1" applyBorder="1" applyAlignment="1" applyProtection="1">
      <alignment horizontal="center"/>
      <protection hidden="1"/>
    </xf>
    <xf numFmtId="0" fontId="21" fillId="4" borderId="72" xfId="0" applyFont="1" applyFill="1" applyBorder="1" applyAlignment="1">
      <alignment horizontal="center" vertical="center" wrapText="1"/>
    </xf>
    <xf numFmtId="0" fontId="21" fillId="4" borderId="73" xfId="0" applyFont="1" applyFill="1" applyBorder="1" applyAlignment="1">
      <alignment horizontal="center" wrapText="1"/>
    </xf>
    <xf numFmtId="1" fontId="21" fillId="4" borderId="73" xfId="0" applyNumberFormat="1" applyFont="1" applyFill="1" applyBorder="1" applyAlignment="1">
      <alignment horizontal="center" vertical="center" wrapText="1"/>
    </xf>
    <xf numFmtId="0" fontId="3" fillId="4" borderId="73" xfId="0" applyFont="1" applyFill="1" applyBorder="1" applyAlignment="1">
      <alignment horizontal="center" vertical="center"/>
    </xf>
    <xf numFmtId="164" fontId="3" fillId="7" borderId="73" xfId="0" applyNumberFormat="1" applyFont="1" applyFill="1" applyBorder="1" applyAlignment="1" applyProtection="1">
      <alignment horizontal="center" vertical="center"/>
      <protection locked="0"/>
    </xf>
    <xf numFmtId="2" fontId="3" fillId="4" borderId="74" xfId="0" applyNumberFormat="1" applyFont="1" applyFill="1" applyBorder="1" applyAlignment="1" applyProtection="1">
      <alignment horizontal="center" vertical="center"/>
      <protection hidden="1"/>
    </xf>
    <xf numFmtId="0" fontId="21" fillId="4" borderId="72" xfId="0" applyFont="1" applyFill="1" applyBorder="1" applyAlignment="1">
      <alignment horizontal="center"/>
    </xf>
    <xf numFmtId="1" fontId="3" fillId="4" borderId="73" xfId="0" applyNumberFormat="1" applyFont="1" applyFill="1" applyBorder="1" applyAlignment="1">
      <alignment horizontal="center"/>
    </xf>
    <xf numFmtId="0" fontId="3" fillId="4" borderId="73" xfId="0" applyFont="1" applyFill="1" applyBorder="1" applyAlignment="1">
      <alignment horizontal="center"/>
    </xf>
    <xf numFmtId="164" fontId="3" fillId="7" borderId="73" xfId="0" applyNumberFormat="1" applyFont="1" applyFill="1" applyBorder="1" applyAlignment="1" applyProtection="1">
      <alignment horizontal="center"/>
      <protection locked="0"/>
    </xf>
    <xf numFmtId="2" fontId="3" fillId="4" borderId="74" xfId="0" applyNumberFormat="1" applyFont="1" applyFill="1" applyBorder="1" applyAlignment="1" applyProtection="1">
      <alignment horizontal="center"/>
      <protection hidden="1"/>
    </xf>
    <xf numFmtId="0" fontId="5" fillId="22" borderId="70" xfId="0" applyFont="1" applyFill="1" applyBorder="1" applyAlignment="1">
      <alignment horizontal="left" wrapText="1" indent="1"/>
    </xf>
    <xf numFmtId="0" fontId="5" fillId="22" borderId="71" xfId="0" applyFont="1" applyFill="1" applyBorder="1" applyAlignment="1">
      <alignment horizontal="center" wrapText="1"/>
    </xf>
    <xf numFmtId="0" fontId="3" fillId="21" borderId="70" xfId="0" applyFont="1" applyFill="1" applyBorder="1" applyAlignment="1">
      <alignment horizontal="center"/>
    </xf>
    <xf numFmtId="171" fontId="3" fillId="21" borderId="71" xfId="0" applyNumberFormat="1" applyFont="1" applyFill="1" applyBorder="1" applyAlignment="1">
      <alignment horizontal="center"/>
    </xf>
    <xf numFmtId="0" fontId="3" fillId="21" borderId="72" xfId="0" applyFont="1" applyFill="1" applyBorder="1" applyAlignment="1">
      <alignment horizontal="center"/>
    </xf>
    <xf numFmtId="0" fontId="3" fillId="21" borderId="73" xfId="0" applyFont="1" applyFill="1" applyBorder="1" applyAlignment="1">
      <alignment horizontal="center"/>
    </xf>
    <xf numFmtId="0" fontId="3" fillId="23" borderId="73" xfId="0" applyFont="1" applyFill="1" applyBorder="1" applyAlignment="1">
      <alignment horizontal="center"/>
    </xf>
    <xf numFmtId="171" fontId="3" fillId="21" borderId="74" xfId="0" applyNumberFormat="1" applyFont="1" applyFill="1" applyBorder="1" applyAlignment="1">
      <alignment horizontal="center"/>
    </xf>
    <xf numFmtId="2" fontId="3" fillId="4" borderId="71" xfId="0" applyNumberFormat="1" applyFont="1" applyFill="1" applyBorder="1" applyAlignment="1" applyProtection="1">
      <alignment horizontal="center" vertical="center"/>
      <protection hidden="1"/>
    </xf>
    <xf numFmtId="1" fontId="3" fillId="4" borderId="73" xfId="0" applyNumberFormat="1" applyFont="1" applyFill="1" applyBorder="1" applyAlignment="1">
      <alignment horizontal="center" vertical="center"/>
    </xf>
    <xf numFmtId="0" fontId="3" fillId="0" borderId="0" xfId="0" applyFont="1"/>
    <xf numFmtId="1" fontId="3" fillId="0" borderId="0" xfId="0" applyNumberFormat="1" applyFont="1"/>
    <xf numFmtId="164" fontId="3" fillId="0" borderId="0" xfId="0" applyNumberFormat="1" applyFont="1"/>
    <xf numFmtId="2" fontId="3" fillId="0" borderId="0" xfId="0" applyNumberFormat="1" applyFont="1"/>
    <xf numFmtId="0" fontId="3" fillId="4" borderId="75" xfId="0" applyFont="1" applyFill="1" applyBorder="1"/>
    <xf numFmtId="2" fontId="3" fillId="4" borderId="76" xfId="0" applyNumberFormat="1" applyFont="1" applyFill="1" applyBorder="1"/>
    <xf numFmtId="166" fontId="3" fillId="4" borderId="1" xfId="0" applyNumberFormat="1" applyFont="1" applyFill="1" applyBorder="1" applyAlignment="1" applyProtection="1">
      <alignment horizontal="center" vertical="center"/>
      <protection hidden="1"/>
    </xf>
    <xf numFmtId="0" fontId="3" fillId="3" borderId="14" xfId="0" applyFont="1" applyFill="1" applyBorder="1" applyAlignment="1">
      <alignment horizontal="left" vertical="center"/>
    </xf>
    <xf numFmtId="2" fontId="3" fillId="13" borderId="1" xfId="0" applyNumberFormat="1" applyFont="1" applyFill="1" applyBorder="1" applyAlignment="1" applyProtection="1">
      <alignment horizontal="center" vertical="center"/>
      <protection locked="0" hidden="1"/>
    </xf>
    <xf numFmtId="0" fontId="3" fillId="4" borderId="1" xfId="0" applyFont="1" applyFill="1" applyBorder="1" applyAlignment="1">
      <alignment horizontal="center" vertical="center" wrapText="1"/>
    </xf>
    <xf numFmtId="0" fontId="3" fillId="11" borderId="22" xfId="0" applyFont="1" applyFill="1" applyBorder="1" applyAlignment="1">
      <alignment vertical="center"/>
    </xf>
    <xf numFmtId="0" fontId="3" fillId="3" borderId="16" xfId="0" applyFont="1" applyFill="1" applyBorder="1" applyAlignment="1">
      <alignment vertical="center"/>
    </xf>
    <xf numFmtId="165" fontId="3" fillId="19" borderId="1" xfId="0" applyNumberFormat="1" applyFont="1" applyFill="1" applyBorder="1" applyAlignment="1" applyProtection="1">
      <alignment horizontal="center"/>
      <protection hidden="1"/>
    </xf>
    <xf numFmtId="170" fontId="3" fillId="3" borderId="13" xfId="1" applyNumberFormat="1" applyFont="1" applyFill="1" applyBorder="1" applyAlignment="1" applyProtection="1">
      <alignment horizontal="center" vertical="center"/>
      <protection hidden="1"/>
    </xf>
    <xf numFmtId="168" fontId="3" fillId="13" borderId="1" xfId="0" applyNumberFormat="1" applyFont="1" applyFill="1" applyBorder="1" applyAlignment="1" applyProtection="1">
      <alignment horizontal="center" vertical="center"/>
      <protection locked="0" hidden="1"/>
    </xf>
    <xf numFmtId="170" fontId="3" fillId="0" borderId="9" xfId="0" applyNumberFormat="1" applyFont="1" applyBorder="1"/>
    <xf numFmtId="2" fontId="3" fillId="4" borderId="1" xfId="0" applyNumberFormat="1" applyFont="1" applyFill="1" applyBorder="1" applyAlignment="1">
      <alignment horizontal="center" vertical="center"/>
    </xf>
    <xf numFmtId="165" fontId="3" fillId="19" borderId="1" xfId="0" applyNumberFormat="1" applyFont="1" applyFill="1" applyBorder="1" applyAlignment="1">
      <alignment horizontal="center" vertical="center"/>
    </xf>
    <xf numFmtId="0" fontId="40" fillId="3" borderId="0" xfId="0" applyFont="1" applyFill="1" applyAlignment="1">
      <alignment horizontal="left" vertical="top" wrapText="1"/>
    </xf>
    <xf numFmtId="165" fontId="31" fillId="3" borderId="0" xfId="0" applyNumberFormat="1" applyFont="1" applyFill="1" applyAlignment="1">
      <alignment horizontal="left" vertical="top" wrapText="1"/>
    </xf>
    <xf numFmtId="0" fontId="38" fillId="3" borderId="58" xfId="0" applyFont="1" applyFill="1" applyBorder="1" applyAlignment="1">
      <alignment horizontal="center" wrapText="1"/>
    </xf>
    <xf numFmtId="0" fontId="38" fillId="3" borderId="59" xfId="0" applyFont="1" applyFill="1" applyBorder="1" applyAlignment="1">
      <alignment horizont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 fontId="3" fillId="19" borderId="18" xfId="0" applyNumberFormat="1" applyFont="1" applyFill="1" applyBorder="1" applyAlignment="1" applyProtection="1">
      <alignment horizontal="center" vertical="center" wrapText="1"/>
      <protection locked="0"/>
    </xf>
    <xf numFmtId="1" fontId="3" fillId="19" borderId="3" xfId="0" applyNumberFormat="1" applyFont="1" applyFill="1" applyBorder="1" applyAlignment="1" applyProtection="1">
      <alignment horizontal="center" vertical="center" wrapText="1"/>
      <protection locked="0"/>
    </xf>
    <xf numFmtId="1" fontId="3" fillId="19" borderId="51" xfId="0" applyNumberFormat="1" applyFont="1" applyFill="1" applyBorder="1" applyAlignment="1" applyProtection="1">
      <alignment horizontal="center" vertical="center" wrapText="1"/>
      <protection locked="0"/>
    </xf>
    <xf numFmtId="0" fontId="5" fillId="6" borderId="55" xfId="0" applyFont="1" applyFill="1" applyBorder="1" applyAlignment="1">
      <alignment horizontal="left" vertical="center"/>
    </xf>
    <xf numFmtId="0" fontId="5" fillId="6" borderId="8" xfId="0" applyFont="1" applyFill="1" applyBorder="1" applyAlignment="1">
      <alignment horizontal="left" vertical="center"/>
    </xf>
    <xf numFmtId="0" fontId="5" fillId="6" borderId="9" xfId="0" applyFont="1" applyFill="1" applyBorder="1" applyAlignment="1">
      <alignment horizontal="left" vertical="center"/>
    </xf>
    <xf numFmtId="0" fontId="3" fillId="11" borderId="14" xfId="0" applyFont="1" applyFill="1" applyBorder="1" applyAlignment="1">
      <alignment horizontal="left" vertical="center"/>
    </xf>
    <xf numFmtId="0" fontId="3" fillId="11" borderId="5" xfId="0" applyFont="1" applyFill="1" applyBorder="1" applyAlignment="1">
      <alignment horizontal="left" vertical="center"/>
    </xf>
    <xf numFmtId="0" fontId="3" fillId="11" borderId="24" xfId="0" applyFont="1" applyFill="1" applyBorder="1" applyAlignment="1">
      <alignment horizontal="left" vertical="center"/>
    </xf>
    <xf numFmtId="0" fontId="3" fillId="3" borderId="14" xfId="0" applyFont="1" applyFill="1" applyBorder="1" applyAlignment="1">
      <alignment horizontal="left" vertical="center"/>
    </xf>
    <xf numFmtId="0" fontId="3" fillId="3" borderId="16" xfId="0" applyFont="1" applyFill="1" applyBorder="1" applyAlignment="1">
      <alignment horizontal="left" vertical="center"/>
    </xf>
    <xf numFmtId="0" fontId="3" fillId="3" borderId="24" xfId="0" applyFont="1" applyFill="1" applyBorder="1" applyAlignment="1">
      <alignment horizontal="left" vertical="center"/>
    </xf>
    <xf numFmtId="0" fontId="31" fillId="3" borderId="0" xfId="0" applyFont="1" applyFill="1" applyBorder="1" applyAlignment="1">
      <alignment horizontal="left" vertical="top" wrapText="1"/>
    </xf>
    <xf numFmtId="0" fontId="3" fillId="11" borderId="16" xfId="0" applyFont="1" applyFill="1" applyBorder="1" applyAlignment="1">
      <alignment horizontal="left" vertical="center"/>
    </xf>
    <xf numFmtId="0" fontId="3" fillId="10" borderId="14" xfId="0" applyFont="1" applyFill="1" applyBorder="1" applyAlignment="1">
      <alignment horizontal="left" vertical="center"/>
    </xf>
    <xf numFmtId="0" fontId="3" fillId="10" borderId="16" xfId="0" applyFont="1" applyFill="1" applyBorder="1" applyAlignment="1">
      <alignment horizontal="left" vertical="center"/>
    </xf>
    <xf numFmtId="0" fontId="3" fillId="10" borderId="24" xfId="0" applyFont="1" applyFill="1" applyBorder="1" applyAlignment="1">
      <alignment horizontal="left" vertical="center"/>
    </xf>
    <xf numFmtId="165" fontId="5"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0" fontId="3" fillId="18" borderId="30" xfId="0" applyFont="1" applyFill="1" applyBorder="1" applyAlignment="1" applyProtection="1">
      <alignment horizontal="center" vertical="center" wrapText="1"/>
      <protection locked="0"/>
    </xf>
    <xf numFmtId="0" fontId="3" fillId="18" borderId="28" xfId="0" applyFont="1" applyFill="1" applyBorder="1" applyAlignment="1" applyProtection="1">
      <alignment horizontal="center" vertical="center" wrapText="1"/>
      <protection locked="0"/>
    </xf>
    <xf numFmtId="14" fontId="3" fillId="18" borderId="14" xfId="0" applyNumberFormat="1" applyFont="1" applyFill="1" applyBorder="1" applyAlignment="1" applyProtection="1">
      <alignment horizontal="center" vertical="center" wrapText="1"/>
      <protection locked="0"/>
    </xf>
    <xf numFmtId="14" fontId="3" fillId="18" borderId="24" xfId="0" applyNumberFormat="1" applyFont="1" applyFill="1" applyBorder="1" applyAlignment="1" applyProtection="1">
      <alignment horizontal="center" vertical="center" wrapText="1"/>
      <protection locked="0"/>
    </xf>
    <xf numFmtId="0" fontId="3" fillId="18" borderId="14" xfId="0" applyFont="1" applyFill="1" applyBorder="1" applyAlignment="1" applyProtection="1">
      <alignment horizontal="center" vertical="center" wrapText="1"/>
      <protection locked="0"/>
    </xf>
    <xf numFmtId="0" fontId="3" fillId="18" borderId="24" xfId="0" applyFont="1" applyFill="1" applyBorder="1" applyAlignment="1" applyProtection="1">
      <alignment horizontal="center" vertical="center" wrapText="1"/>
      <protection locked="0"/>
    </xf>
    <xf numFmtId="164" fontId="5" fillId="6" borderId="1" xfId="0" applyNumberFormat="1"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0" fontId="21" fillId="19" borderId="4" xfId="0" applyFont="1" applyFill="1" applyBorder="1" applyAlignment="1">
      <alignment horizontal="center" vertical="center" wrapText="1"/>
    </xf>
    <xf numFmtId="0" fontId="21" fillId="19" borderId="5" xfId="0" applyFont="1" applyFill="1" applyBorder="1" applyAlignment="1">
      <alignment horizontal="center" vertical="center" wrapText="1"/>
    </xf>
    <xf numFmtId="0" fontId="21" fillId="19" borderId="6" xfId="0" applyFont="1" applyFill="1" applyBorder="1" applyAlignment="1">
      <alignment horizontal="center" vertical="center" wrapText="1"/>
    </xf>
    <xf numFmtId="0" fontId="21" fillId="19" borderId="40" xfId="0" applyFont="1" applyFill="1" applyBorder="1" applyAlignment="1">
      <alignment horizontal="center" vertical="center" wrapText="1"/>
    </xf>
    <xf numFmtId="0" fontId="21" fillId="19" borderId="22" xfId="0" applyFont="1" applyFill="1" applyBorder="1" applyAlignment="1">
      <alignment horizontal="center" vertical="center" wrapText="1"/>
    </xf>
    <xf numFmtId="0" fontId="21" fillId="19" borderId="41" xfId="0" applyFont="1" applyFill="1" applyBorder="1" applyAlignment="1">
      <alignment horizontal="center" vertical="center" wrapText="1"/>
    </xf>
    <xf numFmtId="165" fontId="3" fillId="27" borderId="14" xfId="0" applyNumberFormat="1" applyFont="1" applyFill="1" applyBorder="1" applyAlignment="1">
      <alignment horizontal="center" vertical="center"/>
    </xf>
    <xf numFmtId="165" fontId="3" fillId="27" borderId="16" xfId="0" applyNumberFormat="1" applyFont="1" applyFill="1" applyBorder="1" applyAlignment="1">
      <alignment horizontal="center" vertical="center"/>
    </xf>
    <xf numFmtId="165" fontId="3" fillId="27" borderId="24" xfId="0" applyNumberFormat="1" applyFont="1" applyFill="1" applyBorder="1" applyAlignment="1">
      <alignment horizontal="center" vertical="center"/>
    </xf>
    <xf numFmtId="0" fontId="3" fillId="3" borderId="0" xfId="0" applyFont="1" applyFill="1" applyAlignment="1">
      <alignment horizontal="center" vertical="center" wrapText="1"/>
    </xf>
    <xf numFmtId="0" fontId="3" fillId="3" borderId="20" xfId="0" applyFont="1" applyFill="1" applyBorder="1" applyAlignment="1">
      <alignment horizontal="center" vertical="center" wrapText="1"/>
    </xf>
    <xf numFmtId="165" fontId="5" fillId="6" borderId="10" xfId="0" applyNumberFormat="1" applyFont="1" applyFill="1" applyBorder="1" applyAlignment="1">
      <alignment horizontal="center" vertical="center" wrapText="1"/>
    </xf>
    <xf numFmtId="165" fontId="5" fillId="6" borderId="23" xfId="0" applyNumberFormat="1" applyFont="1" applyFill="1" applyBorder="1" applyAlignment="1">
      <alignment horizontal="center" vertical="center" wrapText="1"/>
    </xf>
    <xf numFmtId="165" fontId="5" fillId="6" borderId="21" xfId="0" applyNumberFormat="1" applyFont="1" applyFill="1" applyBorder="1" applyAlignment="1">
      <alignment horizontal="center" vertical="center" wrapText="1"/>
    </xf>
    <xf numFmtId="0" fontId="10" fillId="20" borderId="38" xfId="0" applyFont="1" applyFill="1" applyBorder="1" applyAlignment="1" applyProtection="1">
      <alignment horizontal="center" vertical="center" wrapText="1"/>
      <protection hidden="1"/>
    </xf>
    <xf numFmtId="0" fontId="10" fillId="20" borderId="5" xfId="0" applyFont="1" applyFill="1" applyBorder="1" applyAlignment="1" applyProtection="1">
      <alignment horizontal="center" vertical="center" wrapText="1"/>
      <protection hidden="1"/>
    </xf>
    <xf numFmtId="0" fontId="10" fillId="20" borderId="39" xfId="0" applyFont="1" applyFill="1" applyBorder="1" applyAlignment="1" applyProtection="1">
      <alignment horizontal="center" vertical="center" wrapText="1"/>
      <protection hidden="1"/>
    </xf>
    <xf numFmtId="164" fontId="5" fillId="14" borderId="9" xfId="0" applyNumberFormat="1" applyFont="1" applyFill="1" applyBorder="1" applyAlignment="1">
      <alignment horizontal="center" vertical="center" wrapText="1"/>
    </xf>
    <xf numFmtId="164" fontId="6" fillId="14" borderId="9" xfId="0" applyNumberFormat="1" applyFont="1" applyFill="1" applyBorder="1" applyAlignment="1">
      <alignment horizontal="center" vertical="center" wrapText="1"/>
    </xf>
    <xf numFmtId="0" fontId="5" fillId="6" borderId="1" xfId="0" applyFont="1" applyFill="1" applyBorder="1" applyAlignment="1">
      <alignment horizontal="center" vertical="center"/>
    </xf>
    <xf numFmtId="1" fontId="5" fillId="6"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wrapText="1"/>
    </xf>
    <xf numFmtId="2" fontId="5" fillId="14" borderId="1" xfId="0" applyNumberFormat="1" applyFont="1" applyFill="1" applyBorder="1" applyAlignment="1">
      <alignment horizontal="center" vertical="center" wrapText="1"/>
    </xf>
    <xf numFmtId="2" fontId="6" fillId="14" borderId="1" xfId="0" applyNumberFormat="1" applyFont="1" applyFill="1" applyBorder="1" applyAlignment="1">
      <alignment horizontal="center" vertical="center" wrapTex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24" xfId="0" applyFont="1" applyBorder="1" applyAlignment="1">
      <alignment horizontal="left" vertical="center"/>
    </xf>
    <xf numFmtId="0" fontId="34" fillId="24" borderId="0" xfId="0" applyFont="1" applyFill="1" applyAlignment="1">
      <alignment horizontal="left" vertical="center" wrapText="1"/>
    </xf>
    <xf numFmtId="0" fontId="3" fillId="3" borderId="26" xfId="0" applyFont="1" applyFill="1" applyBorder="1" applyAlignment="1">
      <alignment horizontal="left" vertical="center" wrapText="1"/>
    </xf>
    <xf numFmtId="0" fontId="37" fillId="3" borderId="20" xfId="0" applyFont="1" applyFill="1" applyBorder="1" applyAlignment="1">
      <alignment horizontal="center" vertical="center"/>
    </xf>
    <xf numFmtId="165" fontId="30" fillId="10" borderId="22" xfId="0" applyNumberFormat="1" applyFont="1" applyFill="1" applyBorder="1" applyAlignment="1">
      <alignment horizontal="center" vertical="center"/>
    </xf>
    <xf numFmtId="164" fontId="5" fillId="14" borderId="1" xfId="0" applyNumberFormat="1" applyFont="1" applyFill="1" applyBorder="1" applyAlignment="1">
      <alignment horizontal="center" vertical="center" wrapText="1"/>
    </xf>
    <xf numFmtId="164" fontId="6" fillId="14" borderId="1" xfId="0" applyNumberFormat="1" applyFont="1" applyFill="1" applyBorder="1" applyAlignment="1">
      <alignment horizontal="center" vertical="center" wrapText="1"/>
    </xf>
    <xf numFmtId="0" fontId="3" fillId="18" borderId="33" xfId="0" applyFont="1" applyFill="1" applyBorder="1" applyAlignment="1" applyProtection="1">
      <alignment horizontal="center" vertical="center" wrapText="1"/>
      <protection locked="0"/>
    </xf>
    <xf numFmtId="0" fontId="3" fillId="18" borderId="32" xfId="0" applyFont="1" applyFill="1" applyBorder="1" applyAlignment="1" applyProtection="1">
      <alignment horizontal="center" vertical="center" wrapText="1"/>
      <protection locked="0"/>
    </xf>
    <xf numFmtId="1" fontId="33" fillId="13" borderId="35" xfId="0" applyNumberFormat="1" applyFont="1" applyFill="1" applyBorder="1" applyAlignment="1" applyProtection="1">
      <alignment horizontal="left" vertical="center" indent="1"/>
      <protection locked="0"/>
    </xf>
    <xf numFmtId="1" fontId="33" fillId="13" borderId="36" xfId="0" applyNumberFormat="1" applyFont="1" applyFill="1" applyBorder="1" applyAlignment="1" applyProtection="1">
      <alignment horizontal="left" vertical="center" indent="1"/>
      <protection locked="0"/>
    </xf>
    <xf numFmtId="1" fontId="33" fillId="13" borderId="37" xfId="0" applyNumberFormat="1" applyFont="1" applyFill="1" applyBorder="1" applyAlignment="1" applyProtection="1">
      <alignment horizontal="left" vertical="center" indent="1"/>
      <protection locked="0"/>
    </xf>
    <xf numFmtId="0" fontId="25" fillId="3" borderId="0" xfId="0" applyFont="1" applyFill="1" applyBorder="1" applyAlignment="1">
      <alignment horizontal="center" vertical="center" wrapText="1"/>
    </xf>
    <xf numFmtId="165" fontId="42" fillId="0" borderId="0" xfId="0" applyNumberFormat="1" applyFont="1" applyBorder="1" applyAlignment="1">
      <alignment horizontal="center" vertical="center" wrapText="1"/>
    </xf>
    <xf numFmtId="0" fontId="32" fillId="3" borderId="5" xfId="0" applyFont="1" applyFill="1" applyBorder="1" applyAlignment="1">
      <alignment horizontal="left" vertical="center"/>
    </xf>
    <xf numFmtId="0" fontId="3" fillId="18" borderId="29" xfId="0" applyFont="1" applyFill="1" applyBorder="1" applyAlignment="1" applyProtection="1">
      <alignment horizontal="center" vertical="center" wrapText="1"/>
      <protection locked="0"/>
    </xf>
    <xf numFmtId="0" fontId="3" fillId="18" borderId="27" xfId="0" applyFont="1" applyFill="1" applyBorder="1" applyAlignment="1" applyProtection="1">
      <alignment horizontal="center" vertical="center" wrapText="1"/>
      <protection locked="0"/>
    </xf>
    <xf numFmtId="0" fontId="3" fillId="6" borderId="12" xfId="0" applyFont="1" applyFill="1" applyBorder="1" applyAlignment="1">
      <alignment horizontal="left"/>
    </xf>
    <xf numFmtId="0" fontId="3" fillId="6" borderId="8" xfId="0" applyFont="1" applyFill="1" applyBorder="1" applyAlignment="1">
      <alignment horizontal="left"/>
    </xf>
    <xf numFmtId="0" fontId="3" fillId="6" borderId="9" xfId="0" applyFont="1" applyFill="1" applyBorder="1" applyAlignment="1">
      <alignment horizontal="left"/>
    </xf>
    <xf numFmtId="0" fontId="10" fillId="20" borderId="17" xfId="0" applyFont="1" applyFill="1" applyBorder="1" applyAlignment="1">
      <alignment horizontal="left" vertical="center"/>
    </xf>
    <xf numFmtId="0" fontId="10" fillId="20" borderId="15" xfId="0" applyFont="1" applyFill="1" applyBorder="1" applyAlignment="1">
      <alignment horizontal="left" vertical="center"/>
    </xf>
    <xf numFmtId="0" fontId="10" fillId="20" borderId="18" xfId="0" applyFont="1" applyFill="1" applyBorder="1" applyAlignment="1">
      <alignment horizontal="left" vertical="center"/>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3" fillId="3" borderId="1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2"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0" fontId="20" fillId="3" borderId="2" xfId="0" applyFont="1" applyFill="1" applyBorder="1" applyAlignment="1">
      <alignment horizontal="left"/>
    </xf>
    <xf numFmtId="165" fontId="5" fillId="10" borderId="1" xfId="0" applyNumberFormat="1" applyFont="1" applyFill="1" applyBorder="1" applyAlignment="1">
      <alignment horizontal="center" vertical="center"/>
    </xf>
    <xf numFmtId="165" fontId="6" fillId="10" borderId="1" xfId="0" applyNumberFormat="1" applyFont="1" applyFill="1" applyBorder="1" applyAlignment="1">
      <alignment horizontal="center" vertical="center" wrapText="1"/>
    </xf>
    <xf numFmtId="0" fontId="3" fillId="10" borderId="14" xfId="0" applyFont="1" applyFill="1" applyBorder="1" applyAlignment="1" applyProtection="1">
      <alignment horizontal="center" vertical="center" wrapText="1"/>
      <protection locked="0"/>
    </xf>
    <xf numFmtId="0" fontId="3" fillId="10" borderId="16" xfId="0" applyFont="1" applyFill="1" applyBorder="1" applyAlignment="1" applyProtection="1">
      <alignment horizontal="center" vertical="center" wrapText="1"/>
      <protection locked="0"/>
    </xf>
    <xf numFmtId="0" fontId="3" fillId="10" borderId="24" xfId="0" applyFont="1" applyFill="1" applyBorder="1" applyAlignment="1" applyProtection="1">
      <alignment horizontal="center" vertical="center" wrapText="1"/>
      <protection locked="0"/>
    </xf>
    <xf numFmtId="0" fontId="3" fillId="10" borderId="33" xfId="0" applyFont="1" applyFill="1" applyBorder="1" applyAlignment="1" applyProtection="1">
      <alignment horizontal="center" vertical="center" wrapText="1"/>
      <protection locked="0"/>
    </xf>
    <xf numFmtId="0" fontId="3" fillId="10" borderId="31" xfId="0" applyFont="1" applyFill="1" applyBorder="1" applyAlignment="1" applyProtection="1">
      <alignment horizontal="center" vertical="center" wrapText="1"/>
      <protection locked="0"/>
    </xf>
    <xf numFmtId="0" fontId="3" fillId="10" borderId="32" xfId="0" applyFont="1" applyFill="1" applyBorder="1" applyAlignment="1" applyProtection="1">
      <alignment horizontal="center" vertical="center" wrapText="1"/>
      <protection locked="0"/>
    </xf>
    <xf numFmtId="0" fontId="5" fillId="10" borderId="1" xfId="0" applyFont="1" applyFill="1" applyBorder="1" applyAlignment="1">
      <alignment horizontal="center" vertical="center"/>
    </xf>
    <xf numFmtId="0" fontId="6" fillId="10" borderId="1" xfId="0" applyFont="1" applyFill="1" applyBorder="1" applyAlignment="1">
      <alignment horizontal="center" vertical="center" wrapText="1"/>
    </xf>
    <xf numFmtId="1" fontId="5" fillId="10" borderId="1" xfId="0" applyNumberFormat="1" applyFont="1" applyFill="1" applyBorder="1" applyAlignment="1">
      <alignment horizontal="center" vertical="center"/>
    </xf>
    <xf numFmtId="1" fontId="6" fillId="10" borderId="1" xfId="0" applyNumberFormat="1"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cellXfs>
  <cellStyles count="6">
    <cellStyle name="Currency" xfId="5" builtinId="4"/>
    <cellStyle name="Currency 2" xfId="3" xr:uid="{EEE9D913-0377-439B-9FB2-4558DC9F454C}"/>
    <cellStyle name="Normal" xfId="0" builtinId="0"/>
    <cellStyle name="Normal 2" xfId="2" xr:uid="{C2727015-0146-4669-912F-02624FF74B59}"/>
    <cellStyle name="Percent" xfId="1" builtinId="5"/>
    <cellStyle name="Percent 2" xfId="4" xr:uid="{88AE0D89-5ACB-454F-AFF1-44FE6AF276F9}"/>
  </cellStyles>
  <dxfs count="3">
    <dxf>
      <fill>
        <patternFill>
          <bgColor theme="7" tint="0.59996337778862885"/>
        </patternFill>
      </fill>
    </dxf>
    <dxf>
      <font>
        <color theme="0"/>
      </font>
    </dxf>
    <dxf>
      <fill>
        <patternFill>
          <bgColor theme="7" tint="0.59996337778862885"/>
        </patternFill>
      </fill>
    </dxf>
  </dxfs>
  <tableStyles count="0" defaultTableStyle="TableStyleMedium2" defaultPivotStyle="PivotStyleLight16"/>
  <colors>
    <mruColors>
      <color rgb="FFF5EBFF"/>
      <color rgb="FFF9F3FF"/>
      <color rgb="FFD8CDE7"/>
      <color rgb="FF7E58AE"/>
      <color rgb="FFFFC0CB"/>
      <color rgb="FFFED6F4"/>
      <color rgb="FFFF99FF"/>
      <color rgb="FF99CCFF"/>
      <color rgb="FFDEBD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3</xdr:col>
      <xdr:colOff>457200</xdr:colOff>
      <xdr:row>1</xdr:row>
      <xdr:rowOff>1494</xdr:rowOff>
    </xdr:to>
    <xdr:pic>
      <xdr:nvPicPr>
        <xdr:cNvPr id="7" name="Picture 6">
          <a:extLst>
            <a:ext uri="{FF2B5EF4-FFF2-40B4-BE49-F238E27FC236}">
              <a16:creationId xmlns:a16="http://schemas.microsoft.com/office/drawing/2014/main" id="{CF8309BD-BFA3-D3CF-D128-B2D6DA3E71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2171699" cy="849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257176</xdr:colOff>
      <xdr:row>1</xdr:row>
      <xdr:rowOff>209550</xdr:rowOff>
    </xdr:from>
    <xdr:to>
      <xdr:col>6</xdr:col>
      <xdr:colOff>30407</xdr:colOff>
      <xdr:row>5</xdr:row>
      <xdr:rowOff>85725</xdr:rowOff>
    </xdr:to>
    <xdr:pic>
      <xdr:nvPicPr>
        <xdr:cNvPr id="2" name="Picture 1">
          <a:extLst>
            <a:ext uri="{FF2B5EF4-FFF2-40B4-BE49-F238E27FC236}">
              <a16:creationId xmlns:a16="http://schemas.microsoft.com/office/drawing/2014/main" id="{4E975B0D-0C41-4398-95BC-2304621DB2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7701" y="390525"/>
          <a:ext cx="1751256" cy="682625"/>
        </a:xfrm>
        <a:prstGeom prst="rect">
          <a:avLst/>
        </a:prstGeom>
      </xdr:spPr>
    </xdr:pic>
    <xdr:clientData/>
  </xdr:twoCellAnchor>
  <xdr:twoCellAnchor editAs="oneCell">
    <xdr:from>
      <xdr:col>4</xdr:col>
      <xdr:colOff>257176</xdr:colOff>
      <xdr:row>1</xdr:row>
      <xdr:rowOff>209550</xdr:rowOff>
    </xdr:from>
    <xdr:to>
      <xdr:col>6</xdr:col>
      <xdr:colOff>27232</xdr:colOff>
      <xdr:row>5</xdr:row>
      <xdr:rowOff>82550</xdr:rowOff>
    </xdr:to>
    <xdr:pic>
      <xdr:nvPicPr>
        <xdr:cNvPr id="3" name="Picture 2">
          <a:extLst>
            <a:ext uri="{FF2B5EF4-FFF2-40B4-BE49-F238E27FC236}">
              <a16:creationId xmlns:a16="http://schemas.microsoft.com/office/drawing/2014/main" id="{D82A5664-A80C-4702-B94E-C498794C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57701" y="390525"/>
          <a:ext cx="1757606" cy="685800"/>
        </a:xfrm>
        <a:prstGeom prst="rect">
          <a:avLst/>
        </a:prstGeom>
      </xdr:spPr>
    </xdr:pic>
    <xdr:clientData/>
  </xdr:twoCellAnchor>
  <xdr:twoCellAnchor editAs="oneCell">
    <xdr:from>
      <xdr:col>4</xdr:col>
      <xdr:colOff>219075</xdr:colOff>
      <xdr:row>45</xdr:row>
      <xdr:rowOff>152400</xdr:rowOff>
    </xdr:from>
    <xdr:to>
      <xdr:col>6</xdr:col>
      <xdr:colOff>1831</xdr:colOff>
      <xdr:row>49</xdr:row>
      <xdr:rowOff>111125</xdr:rowOff>
    </xdr:to>
    <xdr:pic>
      <xdr:nvPicPr>
        <xdr:cNvPr id="4" name="Picture 3">
          <a:extLst>
            <a:ext uri="{FF2B5EF4-FFF2-40B4-BE49-F238E27FC236}">
              <a16:creationId xmlns:a16="http://schemas.microsoft.com/office/drawing/2014/main" id="{77477174-CC4D-4747-BEB3-39F13CA99A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19600" y="8534400"/>
          <a:ext cx="1760781" cy="68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3F001-6709-438F-AFFC-F5A4EF482755}">
  <sheetPr codeName="Sheet1"/>
  <dimension ref="A1:AB80"/>
  <sheetViews>
    <sheetView showGridLines="0" tabSelected="1" topLeftCell="A25" zoomScaleNormal="100" workbookViewId="0">
      <selection activeCell="G39" sqref="G39"/>
    </sheetView>
  </sheetViews>
  <sheetFormatPr defaultColWidth="9.140625" defaultRowHeight="12.75" x14ac:dyDescent="0.2"/>
  <cols>
    <col min="1" max="3" width="8.5703125" style="1" customWidth="1"/>
    <col min="4" max="4" width="22.140625" style="1" customWidth="1"/>
    <col min="5" max="5" width="30.85546875" style="1" customWidth="1"/>
    <col min="6" max="6" width="16.140625" style="1" customWidth="1"/>
    <col min="7" max="7" width="12.42578125" style="39" customWidth="1"/>
    <col min="8" max="9" width="12.7109375" style="2" hidden="1" customWidth="1"/>
    <col min="10" max="10" width="13.140625" style="2" customWidth="1"/>
    <col min="11" max="11" width="12.7109375" style="2" customWidth="1"/>
    <col min="12" max="12" width="14.42578125" style="2" customWidth="1"/>
    <col min="13" max="13" width="13.5703125" style="2" customWidth="1"/>
    <col min="14" max="14" width="13.140625" style="2" customWidth="1"/>
    <col min="15" max="15" width="16.28515625" style="2" customWidth="1"/>
    <col min="16" max="16" width="12.85546875" style="2" customWidth="1"/>
    <col min="17" max="17" width="11.28515625" style="3" customWidth="1"/>
    <col min="18" max="18" width="10.85546875" style="4" customWidth="1"/>
    <col min="19" max="19" width="13.85546875" style="4" customWidth="1"/>
    <col min="20" max="26" width="15.7109375" style="3" hidden="1" customWidth="1"/>
    <col min="27" max="27" width="15.7109375" style="2" hidden="1" customWidth="1"/>
    <col min="28" max="28" width="12.5703125" style="1" hidden="1" customWidth="1"/>
    <col min="29" max="31" width="9.140625" style="1"/>
    <col min="32" max="32" width="10.140625" style="1" bestFit="1" customWidth="1"/>
    <col min="33" max="16384" width="9.140625" style="1"/>
  </cols>
  <sheetData>
    <row r="1" spans="1:28" ht="66.95" customHeight="1" thickBot="1" x14ac:dyDescent="0.25">
      <c r="D1" s="128"/>
      <c r="E1" s="295" t="s">
        <v>0</v>
      </c>
      <c r="F1" s="295"/>
      <c r="G1" s="295"/>
      <c r="H1" s="295"/>
      <c r="I1" s="295"/>
      <c r="J1" s="295"/>
      <c r="K1" s="295"/>
      <c r="L1" s="128"/>
      <c r="M1" s="128"/>
      <c r="N1" s="128"/>
      <c r="O1" s="128"/>
      <c r="P1" s="128"/>
      <c r="Q1" s="129"/>
      <c r="R1" s="130"/>
      <c r="S1" s="130"/>
    </row>
    <row r="2" spans="1:28" ht="27" customHeight="1" thickTop="1" x14ac:dyDescent="0.2">
      <c r="A2" s="39"/>
      <c r="B2" s="39"/>
      <c r="C2" s="39"/>
      <c r="D2" s="306"/>
      <c r="E2" s="306"/>
      <c r="F2" s="306"/>
      <c r="G2" s="306"/>
      <c r="H2" s="306"/>
      <c r="I2" s="116"/>
      <c r="J2" s="187"/>
      <c r="K2" s="187"/>
      <c r="L2" s="187"/>
      <c r="M2" s="187"/>
      <c r="N2" s="1" t="str">
        <f>""</f>
        <v/>
      </c>
      <c r="O2" s="298" t="s">
        <v>1</v>
      </c>
      <c r="P2" s="298"/>
      <c r="Q2" s="298"/>
      <c r="R2" s="298"/>
      <c r="S2" s="298"/>
      <c r="T2" s="1"/>
      <c r="U2" s="1"/>
      <c r="V2" s="1"/>
      <c r="W2" s="1"/>
      <c r="X2" s="1"/>
      <c r="Y2" s="1"/>
      <c r="Z2" s="1"/>
      <c r="AA2" s="1"/>
    </row>
    <row r="3" spans="1:28" ht="32.1" customHeight="1" x14ac:dyDescent="0.2">
      <c r="D3" s="297"/>
      <c r="E3" s="297"/>
      <c r="F3" s="297"/>
      <c r="G3" s="83"/>
      <c r="J3" s="187"/>
      <c r="K3" s="187"/>
      <c r="L3" s="187"/>
      <c r="M3" s="187"/>
      <c r="O3" s="70" t="s">
        <v>2</v>
      </c>
      <c r="P3" s="71" t="s">
        <v>3</v>
      </c>
      <c r="Q3" s="72" t="s">
        <v>4</v>
      </c>
      <c r="R3" s="73" t="s">
        <v>5</v>
      </c>
      <c r="S3" s="74" t="s">
        <v>6</v>
      </c>
      <c r="T3" s="2"/>
      <c r="U3" s="2"/>
      <c r="V3" s="4"/>
      <c r="W3" s="4"/>
      <c r="X3" s="4"/>
      <c r="Y3" s="43" t="s">
        <v>7</v>
      </c>
      <c r="Z3" s="43"/>
      <c r="AA3" s="42"/>
    </row>
    <row r="4" spans="1:28" ht="21.95" customHeight="1" x14ac:dyDescent="0.2">
      <c r="D4" s="303" t="s">
        <v>8</v>
      </c>
      <c r="E4" s="304"/>
      <c r="F4" s="305"/>
      <c r="J4" s="307"/>
      <c r="K4" s="307"/>
      <c r="L4" s="307"/>
      <c r="M4" s="307"/>
      <c r="O4" s="84">
        <v>5000</v>
      </c>
      <c r="P4" s="84">
        <v>13749</v>
      </c>
      <c r="Q4" s="85">
        <v>0.03</v>
      </c>
      <c r="R4" s="86">
        <v>0.01</v>
      </c>
      <c r="S4" s="86">
        <v>0.04</v>
      </c>
      <c r="T4" s="2"/>
      <c r="U4" s="2"/>
      <c r="V4" s="4"/>
      <c r="W4" s="4"/>
      <c r="X4" s="4"/>
      <c r="Y4" s="5" t="s">
        <v>9</v>
      </c>
      <c r="Z4" s="5" t="s">
        <v>10</v>
      </c>
      <c r="AA4" s="27" t="s">
        <v>11</v>
      </c>
    </row>
    <row r="5" spans="1:28" ht="18.95" customHeight="1" x14ac:dyDescent="0.2">
      <c r="D5" s="75" t="s">
        <v>12</v>
      </c>
      <c r="E5" s="301"/>
      <c r="F5" s="302"/>
      <c r="J5" s="307"/>
      <c r="K5" s="307"/>
      <c r="L5" s="307"/>
      <c r="M5" s="307"/>
      <c r="O5" s="84">
        <v>13750</v>
      </c>
      <c r="P5" s="84">
        <v>22249</v>
      </c>
      <c r="Q5" s="85">
        <v>0.04</v>
      </c>
      <c r="R5" s="86">
        <v>0.01</v>
      </c>
      <c r="S5" s="86">
        <v>0.05</v>
      </c>
      <c r="T5" s="2"/>
      <c r="U5" s="2"/>
      <c r="V5" s="4"/>
      <c r="W5" s="4"/>
      <c r="X5" s="4"/>
      <c r="Y5" s="84">
        <v>5000</v>
      </c>
      <c r="Z5" s="84">
        <v>13749</v>
      </c>
      <c r="AA5" s="28">
        <v>0.03</v>
      </c>
    </row>
    <row r="6" spans="1:28" ht="18.95" customHeight="1" x14ac:dyDescent="0.3">
      <c r="D6" s="82" t="s">
        <v>13</v>
      </c>
      <c r="E6" s="309"/>
      <c r="F6" s="310"/>
      <c r="J6" s="307"/>
      <c r="K6" s="307"/>
      <c r="L6" s="307"/>
      <c r="M6" s="307"/>
      <c r="O6" s="84">
        <v>22250</v>
      </c>
      <c r="P6" s="84">
        <v>30749</v>
      </c>
      <c r="Q6" s="85">
        <v>0.05</v>
      </c>
      <c r="R6" s="86">
        <v>0.01</v>
      </c>
      <c r="S6" s="86">
        <v>0.06</v>
      </c>
      <c r="T6" s="2"/>
      <c r="U6" s="97" t="s">
        <v>14</v>
      </c>
      <c r="V6" s="4"/>
      <c r="W6" s="4"/>
      <c r="X6" s="4"/>
      <c r="Y6" s="84">
        <v>13750</v>
      </c>
      <c r="Z6" s="84">
        <v>22249</v>
      </c>
      <c r="AA6" s="28">
        <v>0.04</v>
      </c>
    </row>
    <row r="7" spans="1:28" ht="18.95" customHeight="1" x14ac:dyDescent="0.2">
      <c r="D7" s="76" t="s">
        <v>15</v>
      </c>
      <c r="E7" s="260"/>
      <c r="F7" s="261"/>
      <c r="J7" s="307"/>
      <c r="K7" s="307"/>
      <c r="L7" s="307"/>
      <c r="M7" s="307"/>
      <c r="O7" s="84">
        <v>30750</v>
      </c>
      <c r="P7" s="84">
        <v>39249</v>
      </c>
      <c r="Q7" s="85">
        <v>0.06</v>
      </c>
      <c r="R7" s="86">
        <v>0.01</v>
      </c>
      <c r="S7" s="86">
        <v>7.0000000000000007E-2</v>
      </c>
      <c r="T7" s="2"/>
      <c r="U7" s="2"/>
      <c r="V7" s="4"/>
      <c r="W7" s="4"/>
      <c r="X7" s="4"/>
      <c r="Y7" s="84">
        <v>22250</v>
      </c>
      <c r="Z7" s="84">
        <v>30749</v>
      </c>
      <c r="AA7" s="28">
        <v>0.05</v>
      </c>
    </row>
    <row r="8" spans="1:28" ht="18.95" customHeight="1" x14ac:dyDescent="0.2">
      <c r="D8" s="77" t="s">
        <v>16</v>
      </c>
      <c r="E8" s="262"/>
      <c r="F8" s="263"/>
      <c r="J8" s="307"/>
      <c r="K8" s="307"/>
      <c r="L8" s="307"/>
      <c r="M8" s="307"/>
      <c r="O8" s="84">
        <v>39250</v>
      </c>
      <c r="P8" s="84">
        <v>47749</v>
      </c>
      <c r="Q8" s="85">
        <v>0.08</v>
      </c>
      <c r="R8" s="86"/>
      <c r="S8" s="86">
        <v>0.08</v>
      </c>
      <c r="T8" s="2"/>
      <c r="U8" s="2"/>
      <c r="V8" s="4"/>
      <c r="W8" s="4"/>
      <c r="X8" s="4"/>
      <c r="Y8" s="84">
        <v>30750</v>
      </c>
      <c r="Z8" s="84">
        <v>39249</v>
      </c>
      <c r="AA8" s="28">
        <v>0.06</v>
      </c>
    </row>
    <row r="9" spans="1:28" ht="18.95" customHeight="1" x14ac:dyDescent="0.2">
      <c r="D9" s="77" t="s">
        <v>17</v>
      </c>
      <c r="E9" s="264"/>
      <c r="F9" s="265"/>
      <c r="J9" s="187"/>
      <c r="K9" s="187"/>
      <c r="L9" s="187"/>
      <c r="M9" s="187"/>
      <c r="O9" s="84">
        <v>47750</v>
      </c>
      <c r="P9" s="84">
        <v>999999.99</v>
      </c>
      <c r="Q9" s="85">
        <v>0.09</v>
      </c>
      <c r="R9" s="86"/>
      <c r="S9" s="86">
        <v>0.09</v>
      </c>
      <c r="T9" s="2"/>
      <c r="U9" s="2"/>
      <c r="V9" s="4"/>
      <c r="W9" s="4"/>
      <c r="X9" s="4"/>
      <c r="Y9" s="84">
        <v>39250</v>
      </c>
      <c r="Z9" s="84">
        <v>47749</v>
      </c>
      <c r="AA9" s="28">
        <v>0.08</v>
      </c>
    </row>
    <row r="10" spans="1:28" ht="16.5" customHeight="1" x14ac:dyDescent="0.2">
      <c r="D10" s="308"/>
      <c r="E10" s="308"/>
      <c r="F10" s="308"/>
      <c r="J10" s="24"/>
      <c r="K10" s="24"/>
      <c r="L10" s="268" t="s">
        <v>18</v>
      </c>
      <c r="M10" s="269"/>
      <c r="N10" s="270"/>
      <c r="T10" s="2"/>
      <c r="U10" s="2"/>
      <c r="Y10" s="84">
        <v>47750</v>
      </c>
      <c r="Z10" s="84">
        <v>999999.99</v>
      </c>
      <c r="AA10" s="28">
        <v>0.09</v>
      </c>
    </row>
    <row r="11" spans="1:28" ht="13.5" customHeight="1" x14ac:dyDescent="0.2">
      <c r="D11" s="30"/>
      <c r="E11" s="30"/>
      <c r="H11" s="46" t="s">
        <v>19</v>
      </c>
      <c r="I11" s="46"/>
      <c r="L11" s="271"/>
      <c r="M11" s="272"/>
      <c r="N11" s="273"/>
      <c r="Q11" s="277" t="s">
        <v>20</v>
      </c>
      <c r="R11" s="277"/>
      <c r="S11" s="277"/>
      <c r="T11" s="46" t="s">
        <v>19</v>
      </c>
      <c r="U11" s="46"/>
      <c r="V11" s="46" t="s">
        <v>19</v>
      </c>
      <c r="W11" s="46"/>
      <c r="X11" s="46"/>
      <c r="Y11" s="46" t="s">
        <v>19</v>
      </c>
      <c r="Z11" s="46" t="s">
        <v>19</v>
      </c>
      <c r="AA11" s="46" t="s">
        <v>19</v>
      </c>
      <c r="AB11" s="46" t="s">
        <v>19</v>
      </c>
    </row>
    <row r="12" spans="1:28" ht="21.95" customHeight="1" x14ac:dyDescent="0.25">
      <c r="G12" s="1"/>
      <c r="H12" s="1"/>
      <c r="I12" s="1"/>
      <c r="J12" s="1"/>
      <c r="K12" s="1"/>
      <c r="L12" s="274" t="str">
        <f>IF(AA60&lt;5000,"Subtotal does not qualify for rebates","Subtotal qualifies for rebates")</f>
        <v>Subtotal does not qualify for rebates</v>
      </c>
      <c r="M12" s="275"/>
      <c r="N12" s="276"/>
      <c r="P12" s="1"/>
      <c r="Q12" s="278"/>
      <c r="R12" s="278"/>
      <c r="S12" s="278"/>
      <c r="T12" s="49" t="s">
        <v>21</v>
      </c>
      <c r="U12" s="48"/>
      <c r="V12" s="50" t="s">
        <v>22</v>
      </c>
      <c r="W12" s="51"/>
      <c r="X12" s="51"/>
      <c r="Y12" s="62" t="s">
        <v>23</v>
      </c>
      <c r="Z12" s="63"/>
      <c r="AA12" s="63"/>
    </row>
    <row r="13" spans="1:28" ht="18.600000000000001" customHeight="1" x14ac:dyDescent="0.2">
      <c r="B13" s="239" t="s">
        <v>24</v>
      </c>
      <c r="C13" s="239" t="s">
        <v>25</v>
      </c>
      <c r="D13" s="285" t="s">
        <v>26</v>
      </c>
      <c r="E13" s="287" t="s">
        <v>27</v>
      </c>
      <c r="F13" s="287" t="s">
        <v>28</v>
      </c>
      <c r="G13" s="288" t="s">
        <v>29</v>
      </c>
      <c r="H13" s="258" t="s">
        <v>30</v>
      </c>
      <c r="I13" s="258" t="s">
        <v>31</v>
      </c>
      <c r="J13" s="258" t="s">
        <v>32</v>
      </c>
      <c r="K13" s="258" t="s">
        <v>33</v>
      </c>
      <c r="L13" s="281" t="s">
        <v>34</v>
      </c>
      <c r="M13" s="281" t="s">
        <v>35</v>
      </c>
      <c r="N13" s="280" t="s">
        <v>36</v>
      </c>
      <c r="O13" s="258" t="s">
        <v>37</v>
      </c>
      <c r="P13" s="258" t="s">
        <v>38</v>
      </c>
      <c r="Q13" s="299" t="s">
        <v>39</v>
      </c>
      <c r="R13" s="290" t="s">
        <v>40</v>
      </c>
      <c r="S13" s="290" t="s">
        <v>41</v>
      </c>
      <c r="T13" s="266" t="s">
        <v>42</v>
      </c>
      <c r="U13" s="239" t="s">
        <v>43</v>
      </c>
      <c r="V13" s="266" t="s">
        <v>42</v>
      </c>
      <c r="W13" s="239" t="s">
        <v>44</v>
      </c>
      <c r="X13" s="239" t="s">
        <v>45</v>
      </c>
      <c r="Y13" s="266" t="s">
        <v>46</v>
      </c>
      <c r="Z13" s="266" t="s">
        <v>47</v>
      </c>
      <c r="AA13" s="279" t="s">
        <v>48</v>
      </c>
    </row>
    <row r="14" spans="1:28" ht="24.6" customHeight="1" x14ac:dyDescent="0.2">
      <c r="B14" s="240"/>
      <c r="C14" s="240"/>
      <c r="D14" s="286"/>
      <c r="E14" s="240"/>
      <c r="F14" s="240"/>
      <c r="G14" s="289"/>
      <c r="H14" s="259"/>
      <c r="I14" s="259"/>
      <c r="J14" s="259"/>
      <c r="K14" s="259"/>
      <c r="L14" s="259"/>
      <c r="M14" s="259"/>
      <c r="N14" s="281"/>
      <c r="O14" s="259"/>
      <c r="P14" s="259"/>
      <c r="Q14" s="300"/>
      <c r="R14" s="291"/>
      <c r="S14" s="291"/>
      <c r="T14" s="267"/>
      <c r="U14" s="240"/>
      <c r="V14" s="267"/>
      <c r="W14" s="240"/>
      <c r="X14" s="240"/>
      <c r="Y14" s="267"/>
      <c r="Z14" s="267"/>
      <c r="AA14" s="280"/>
    </row>
    <row r="15" spans="1:28" ht="16.5" customHeight="1" x14ac:dyDescent="0.2">
      <c r="B15" s="240"/>
      <c r="C15" s="240"/>
      <c r="D15" s="286"/>
      <c r="E15" s="240"/>
      <c r="F15" s="240"/>
      <c r="G15" s="289"/>
      <c r="H15" s="259"/>
      <c r="I15" s="259"/>
      <c r="J15" s="259"/>
      <c r="K15" s="259"/>
      <c r="L15" s="259"/>
      <c r="M15" s="259"/>
      <c r="N15" s="88">
        <f>IF(AND(K60&lt;&gt;"",K60&gt;0,Z60&gt;0),IF(Z60&gt;0.07,Z60,IF(J65="Yes",Z60+0.01,Z60)),0)</f>
        <v>0</v>
      </c>
      <c r="O15" s="259"/>
      <c r="P15" s="259"/>
      <c r="Q15" s="300"/>
      <c r="R15" s="291"/>
      <c r="S15" s="291"/>
      <c r="T15" s="267"/>
      <c r="U15" s="240"/>
      <c r="V15" s="267"/>
      <c r="W15" s="240"/>
      <c r="X15" s="240"/>
      <c r="Y15" s="267"/>
      <c r="Z15" s="267"/>
      <c r="AA15" s="281"/>
    </row>
    <row r="16" spans="1:28" ht="16.5" customHeight="1" x14ac:dyDescent="0.2">
      <c r="B16" s="142"/>
      <c r="C16" s="141" t="s">
        <v>49</v>
      </c>
      <c r="D16" s="140" t="s">
        <v>50</v>
      </c>
      <c r="E16" s="31" t="s">
        <v>51</v>
      </c>
      <c r="F16" s="31" t="s">
        <v>52</v>
      </c>
      <c r="G16" s="67"/>
      <c r="H16" s="52">
        <v>419.7</v>
      </c>
      <c r="I16" s="52" t="str">
        <f t="shared" ref="I16:I45" si="0">IF(G16*H16= 0,"",G16*H16)</f>
        <v/>
      </c>
      <c r="J16" s="52">
        <v>419.7</v>
      </c>
      <c r="K16" s="52" t="str">
        <f t="shared" ref="K16" si="1">IF(G16*J16= 0,"",G16*J16)</f>
        <v/>
      </c>
      <c r="L16" s="103">
        <f>IF(OR(G16 ="",G16&lt;T16,T16=0),0,G16*U16)</f>
        <v>0</v>
      </c>
      <c r="M16" s="103">
        <f t="shared" ref="M16:M43" si="2">IF(OR(G16 ="",G16&lt;V16,W16="No",V16=0),0,G16*X16)</f>
        <v>0</v>
      </c>
      <c r="N16" s="103">
        <f>IF(OR(I16 ="",Y16+Z16=0),0,G16*J16*(Y16+Z16))</f>
        <v>0</v>
      </c>
      <c r="O16" s="52" t="str">
        <f>IF(AND(G16&lt;&gt;"",G16&gt;0),((K16/G16)-((L16+M16+N16)/G16)),"")</f>
        <v/>
      </c>
      <c r="P16" s="47" t="str">
        <f>IF(AND(G16&lt;&gt;"",G16&gt;0), G16*O16,"")</f>
        <v/>
      </c>
      <c r="Q16" s="87">
        <f>R16/43.56</f>
        <v>0.16069788797061524</v>
      </c>
      <c r="R16" s="225">
        <v>7</v>
      </c>
      <c r="S16" s="177" t="str">
        <f>IF(AND(TRIM(R16)&lt;&gt;"",TRIM(G16)&lt;&gt;""),(G16*64)/R16,"")</f>
        <v/>
      </c>
      <c r="T16" s="45"/>
      <c r="U16" s="45"/>
      <c r="V16" s="45"/>
      <c r="W16" s="45"/>
      <c r="X16" s="45"/>
      <c r="Y16" s="56">
        <f t="shared" ref="Y16:Y31" si="3">IF(AND(G16 &lt;&gt;"",Z$60&lt;=0.07,$J$65="Yes",$AA$60&gt;=5000),0.01,0)</f>
        <v>0</v>
      </c>
      <c r="Z16" s="56">
        <f t="shared" ref="Z16:Z21" si="4">IF(G16 &lt;&gt;"", Z$60,0)</f>
        <v>0</v>
      </c>
      <c r="AA16" s="47">
        <f t="shared" ref="AA16:AA21" si="5">IF(G16 = "",0,J16*G16)</f>
        <v>0</v>
      </c>
    </row>
    <row r="17" spans="2:27" ht="16.5" customHeight="1" x14ac:dyDescent="0.2">
      <c r="B17" s="142"/>
      <c r="C17" s="141" t="s">
        <v>49</v>
      </c>
      <c r="D17" s="140" t="s">
        <v>50</v>
      </c>
      <c r="E17" s="31" t="s">
        <v>53</v>
      </c>
      <c r="F17" s="31" t="s">
        <v>52</v>
      </c>
      <c r="G17" s="67"/>
      <c r="H17" s="52">
        <v>419.7</v>
      </c>
      <c r="I17" s="52" t="str">
        <f t="shared" si="0"/>
        <v/>
      </c>
      <c r="J17" s="52">
        <v>398.7</v>
      </c>
      <c r="K17" s="52" t="str">
        <f t="shared" ref="K17" si="6">IF(G17*J17= 0,"",G17*J17)</f>
        <v/>
      </c>
      <c r="L17" s="103">
        <f t="shared" ref="L17:L43" si="7">IF(OR(G17 ="",G17&lt;T17,T17=0),0,G17*U17)</f>
        <v>0</v>
      </c>
      <c r="M17" s="103">
        <f t="shared" si="2"/>
        <v>0</v>
      </c>
      <c r="N17" s="103">
        <f t="shared" ref="N17:N46" si="8">IF(OR(I17 ="",Y17+Z17=0),0,G17*J17*(Y17+Z17))</f>
        <v>0</v>
      </c>
      <c r="O17" s="52" t="str">
        <f t="shared" ref="O17:O43" si="9">IF(AND(G17&lt;&gt;"",G17&gt;0),((K17/G17)-((L17+M17+N17)/G17)),"")</f>
        <v/>
      </c>
      <c r="P17" s="47" t="str">
        <f t="shared" ref="P17:P43" si="10">IF(AND(G17&lt;&gt;"",G17&gt;0), G17*O17,"")</f>
        <v/>
      </c>
      <c r="Q17" s="87">
        <f>R17/43.56</f>
        <v>0.16069788797061524</v>
      </c>
      <c r="R17" s="225">
        <v>7</v>
      </c>
      <c r="S17" s="177" t="str">
        <f>IF(AND(TRIM(R17)&lt;&gt;"",TRIM(G17)&lt;&gt;""),(G17*64)/R17,"")</f>
        <v/>
      </c>
      <c r="T17" s="45"/>
      <c r="U17" s="99"/>
      <c r="V17" s="99"/>
      <c r="W17" s="99"/>
      <c r="X17" s="99"/>
      <c r="Y17" s="56">
        <f t="shared" si="3"/>
        <v>0</v>
      </c>
      <c r="Z17" s="56">
        <f t="shared" si="4"/>
        <v>0</v>
      </c>
      <c r="AA17" s="47">
        <f t="shared" si="5"/>
        <v>0</v>
      </c>
    </row>
    <row r="18" spans="2:27" ht="45" customHeight="1" x14ac:dyDescent="0.2">
      <c r="B18" s="142"/>
      <c r="C18" s="141" t="s">
        <v>49</v>
      </c>
      <c r="D18" s="139" t="s">
        <v>54</v>
      </c>
      <c r="E18" s="31" t="s">
        <v>55</v>
      </c>
      <c r="F18" s="31" t="s">
        <v>56</v>
      </c>
      <c r="G18" s="67"/>
      <c r="H18" s="52">
        <v>1228.75</v>
      </c>
      <c r="I18" s="52" t="str">
        <f t="shared" si="0"/>
        <v/>
      </c>
      <c r="J18" s="52">
        <v>1228.75</v>
      </c>
      <c r="K18" s="52" t="str">
        <f t="shared" ref="K18" si="11">IF(G18*J18= 0,"",G18*J18)</f>
        <v/>
      </c>
      <c r="L18" s="103">
        <f t="shared" si="7"/>
        <v>0</v>
      </c>
      <c r="M18" s="103">
        <f t="shared" si="2"/>
        <v>0</v>
      </c>
      <c r="N18" s="103">
        <f t="shared" si="8"/>
        <v>0</v>
      </c>
      <c r="O18" s="52" t="str">
        <f t="shared" si="9"/>
        <v/>
      </c>
      <c r="P18" s="47" t="str">
        <f t="shared" si="10"/>
        <v/>
      </c>
      <c r="Q18" s="180">
        <v>2</v>
      </c>
      <c r="R18" s="177">
        <f t="shared" ref="R18" si="12">Q18*43.56</f>
        <v>87.12</v>
      </c>
      <c r="S18" s="177" t="str">
        <f>IF(AND(TRIM(R18)&lt;&gt;"",TRIM(G18)&lt;&gt;""),(G18*319.999849189052)/R18,"")</f>
        <v/>
      </c>
      <c r="T18" s="146">
        <v>4</v>
      </c>
      <c r="U18" s="147">
        <v>45</v>
      </c>
      <c r="V18" s="152">
        <v>4</v>
      </c>
      <c r="W18" s="153" t="str">
        <f>IF(AND(G18&gt;=V18,OR(G36&gt;=V36,G38&gt;=V38)),"Yes","No")</f>
        <v>No</v>
      </c>
      <c r="X18" s="100">
        <v>45</v>
      </c>
      <c r="Y18" s="56">
        <f t="shared" si="3"/>
        <v>0</v>
      </c>
      <c r="Z18" s="56">
        <f t="shared" si="4"/>
        <v>0</v>
      </c>
      <c r="AA18" s="47">
        <f t="shared" si="5"/>
        <v>0</v>
      </c>
    </row>
    <row r="19" spans="2:27" ht="38.1" customHeight="1" x14ac:dyDescent="0.2">
      <c r="B19" s="141" t="s">
        <v>49</v>
      </c>
      <c r="C19" s="141" t="s">
        <v>49</v>
      </c>
      <c r="D19" s="139" t="s">
        <v>57</v>
      </c>
      <c r="E19" s="31" t="s">
        <v>58</v>
      </c>
      <c r="F19" s="31" t="s">
        <v>59</v>
      </c>
      <c r="G19" s="67"/>
      <c r="H19" s="52">
        <v>125.8</v>
      </c>
      <c r="I19" s="52" t="str">
        <f t="shared" si="0"/>
        <v/>
      </c>
      <c r="J19" s="52">
        <v>125.8</v>
      </c>
      <c r="K19" s="52" t="str">
        <f t="shared" ref="K19" si="13">IF(G19*J19= 0,"",G19*J19)</f>
        <v/>
      </c>
      <c r="L19" s="103">
        <f t="shared" si="7"/>
        <v>0</v>
      </c>
      <c r="M19" s="103">
        <f t="shared" si="2"/>
        <v>0</v>
      </c>
      <c r="N19" s="103">
        <f t="shared" si="8"/>
        <v>0</v>
      </c>
      <c r="O19" s="52" t="str">
        <f t="shared" si="9"/>
        <v/>
      </c>
      <c r="P19" s="47" t="str">
        <f t="shared" si="10"/>
        <v/>
      </c>
      <c r="Q19" s="53">
        <f>R19/43.56</f>
        <v>0.11294765840220385</v>
      </c>
      <c r="R19" s="69">
        <v>4.92</v>
      </c>
      <c r="S19" s="177" t="str">
        <f>IF(AND(TRIM(R19)&lt;&gt;"",TRIM(G19)&lt;&gt;""),(G19*10)/R19,"")</f>
        <v/>
      </c>
      <c r="T19" s="149">
        <v>16</v>
      </c>
      <c r="U19" s="100">
        <v>5</v>
      </c>
      <c r="V19" s="154">
        <v>16</v>
      </c>
      <c r="W19" s="155" t="str">
        <f>IF(AND((G39+G40+G41)&gt;=V39,G19&gt;=V19),"Yes","No")</f>
        <v>No</v>
      </c>
      <c r="X19" s="156">
        <v>5</v>
      </c>
      <c r="Y19" s="56">
        <f t="shared" si="3"/>
        <v>0</v>
      </c>
      <c r="Z19" s="56">
        <f t="shared" si="4"/>
        <v>0</v>
      </c>
      <c r="AA19" s="47">
        <f t="shared" si="5"/>
        <v>0</v>
      </c>
    </row>
    <row r="20" spans="2:27" ht="38.1" customHeight="1" x14ac:dyDescent="0.2">
      <c r="B20" s="141"/>
      <c r="C20" s="141" t="s">
        <v>49</v>
      </c>
      <c r="D20" s="139" t="s">
        <v>60</v>
      </c>
      <c r="E20" s="31" t="s">
        <v>61</v>
      </c>
      <c r="F20" s="31" t="s">
        <v>59</v>
      </c>
      <c r="G20" s="67"/>
      <c r="H20" s="52">
        <v>166.4</v>
      </c>
      <c r="I20" s="52" t="str">
        <f t="shared" si="0"/>
        <v/>
      </c>
      <c r="J20" s="52">
        <v>166.4</v>
      </c>
      <c r="K20" s="52" t="str">
        <f t="shared" ref="K20" si="14">IF(G20*J20= 0,"",G20*J20)</f>
        <v/>
      </c>
      <c r="L20" s="103">
        <f t="shared" si="7"/>
        <v>0</v>
      </c>
      <c r="M20" s="103">
        <f t="shared" si="2"/>
        <v>0</v>
      </c>
      <c r="N20" s="103">
        <f t="shared" si="8"/>
        <v>0</v>
      </c>
      <c r="O20" s="52" t="str">
        <f t="shared" si="9"/>
        <v/>
      </c>
      <c r="P20" s="47" t="str">
        <f t="shared" si="10"/>
        <v/>
      </c>
      <c r="Q20" s="181">
        <f>R20/43.56</f>
        <v>0.2295684113865932</v>
      </c>
      <c r="R20" s="69">
        <v>10</v>
      </c>
      <c r="S20" s="177" t="str">
        <f>IF(AND(TRIM(R20)&lt;&gt;"",TRIM(G20)&lt;&gt;""),(G20*10)/R20,"")</f>
        <v/>
      </c>
      <c r="T20" s="149">
        <v>8</v>
      </c>
      <c r="U20" s="100">
        <v>5</v>
      </c>
      <c r="V20" s="148"/>
      <c r="W20" s="148"/>
      <c r="X20" s="148"/>
      <c r="Y20" s="56">
        <f t="shared" si="3"/>
        <v>0</v>
      </c>
      <c r="Z20" s="56">
        <f t="shared" si="4"/>
        <v>0</v>
      </c>
      <c r="AA20" s="47">
        <f t="shared" si="5"/>
        <v>0</v>
      </c>
    </row>
    <row r="21" spans="2:27" ht="29.45" customHeight="1" x14ac:dyDescent="0.2">
      <c r="B21" s="141" t="s">
        <v>49</v>
      </c>
      <c r="C21" s="141" t="s">
        <v>49</v>
      </c>
      <c r="D21" s="139" t="s">
        <v>62</v>
      </c>
      <c r="E21" s="31" t="s">
        <v>63</v>
      </c>
      <c r="F21" s="31" t="s">
        <v>64</v>
      </c>
      <c r="G21" s="67"/>
      <c r="H21" s="52">
        <v>725</v>
      </c>
      <c r="I21" s="52" t="str">
        <f t="shared" si="0"/>
        <v/>
      </c>
      <c r="J21" s="52">
        <v>725</v>
      </c>
      <c r="K21" s="52" t="str">
        <f t="shared" ref="K21" si="15">IF(G21*J21= 0,"",G21*J21)</f>
        <v/>
      </c>
      <c r="L21" s="103">
        <f t="shared" si="7"/>
        <v>0</v>
      </c>
      <c r="M21" s="103">
        <f t="shared" si="2"/>
        <v>0</v>
      </c>
      <c r="N21" s="103">
        <f t="shared" si="8"/>
        <v>0</v>
      </c>
      <c r="O21" s="52" t="str">
        <f t="shared" si="9"/>
        <v/>
      </c>
      <c r="P21" s="47" t="str">
        <f t="shared" si="10"/>
        <v/>
      </c>
      <c r="Q21" s="231">
        <v>0.19600000000000001</v>
      </c>
      <c r="R21" s="177">
        <f>Q21*43.56</f>
        <v>8.5377600000000005</v>
      </c>
      <c r="S21" s="177" t="str">
        <f>IF(AND(TRIM(R21)&lt;&gt;"",TRIM(G21)&lt;&gt;""),(G21*51)/R21,"")</f>
        <v/>
      </c>
      <c r="T21" s="148"/>
      <c r="U21" s="148"/>
      <c r="V21" s="152">
        <v>4</v>
      </c>
      <c r="W21" s="158" t="str">
        <f>IF(AND(G22&gt;=V36,G21&gt;=V18),"Yes","No")</f>
        <v>No</v>
      </c>
      <c r="X21" s="159">
        <v>30</v>
      </c>
      <c r="Y21" s="56">
        <f t="shared" si="3"/>
        <v>0</v>
      </c>
      <c r="Z21" s="56">
        <f t="shared" si="4"/>
        <v>0</v>
      </c>
      <c r="AA21" s="47">
        <f t="shared" si="5"/>
        <v>0</v>
      </c>
    </row>
    <row r="22" spans="2:27" ht="30.6" customHeight="1" x14ac:dyDescent="0.2">
      <c r="B22" s="141"/>
      <c r="C22" s="141" t="s">
        <v>49</v>
      </c>
      <c r="D22" s="143" t="s">
        <v>65</v>
      </c>
      <c r="E22" s="31" t="s">
        <v>66</v>
      </c>
      <c r="F22" s="31" t="s">
        <v>56</v>
      </c>
      <c r="G22" s="67"/>
      <c r="H22" s="52">
        <v>358.25</v>
      </c>
      <c r="I22" s="52" t="str">
        <f t="shared" si="0"/>
        <v/>
      </c>
      <c r="J22" s="52">
        <v>358.25</v>
      </c>
      <c r="K22" s="52" t="str">
        <f t="shared" ref="K22" si="16">IF(G22*J22= 0,"",G22*J22)</f>
        <v/>
      </c>
      <c r="L22" s="103">
        <f t="shared" si="7"/>
        <v>0</v>
      </c>
      <c r="M22" s="103">
        <f t="shared" si="2"/>
        <v>0</v>
      </c>
      <c r="N22" s="103">
        <f t="shared" si="8"/>
        <v>0</v>
      </c>
      <c r="O22" s="52" t="str">
        <f t="shared" si="9"/>
        <v/>
      </c>
      <c r="P22" s="47" t="str">
        <f t="shared" si="10"/>
        <v/>
      </c>
      <c r="Q22" s="179">
        <v>4</v>
      </c>
      <c r="R22" s="177">
        <f t="shared" ref="R22:R23" si="17">Q22*43.56</f>
        <v>174.24</v>
      </c>
      <c r="S22" s="177" t="str">
        <f>IF(AND(TRIM(R22)&lt;&gt;"",TRIM(G22)&lt;&gt;""),(G22*319.999849189052)/R22,"")</f>
        <v/>
      </c>
      <c r="T22" s="45"/>
      <c r="U22" s="45"/>
      <c r="V22" s="152">
        <v>12</v>
      </c>
      <c r="W22" s="93" t="str">
        <f>IF(AND(G22&gt;=V36,G21&gt;=V18),"Yes","No")</f>
        <v>No</v>
      </c>
      <c r="X22" s="159">
        <v>47</v>
      </c>
      <c r="Y22" s="56">
        <f t="shared" si="3"/>
        <v>0</v>
      </c>
      <c r="Z22" s="56">
        <f t="shared" ref="Z22:Z23" si="18">IF(G22 &lt;&gt;"", Z$60,0)</f>
        <v>0</v>
      </c>
      <c r="AA22" s="47">
        <f t="shared" ref="AA22:AA23" si="19">IF(G22 = "",0,J22*G22)</f>
        <v>0</v>
      </c>
    </row>
    <row r="23" spans="2:27" ht="17.45" customHeight="1" x14ac:dyDescent="0.2">
      <c r="B23" s="141"/>
      <c r="C23" s="141" t="s">
        <v>49</v>
      </c>
      <c r="D23" s="140" t="s">
        <v>67</v>
      </c>
      <c r="E23" s="31" t="s">
        <v>68</v>
      </c>
      <c r="F23" s="31" t="s">
        <v>56</v>
      </c>
      <c r="G23" s="67"/>
      <c r="H23" s="52">
        <v>189.7</v>
      </c>
      <c r="I23" s="52" t="str">
        <f t="shared" si="0"/>
        <v/>
      </c>
      <c r="J23" s="52">
        <v>189.7</v>
      </c>
      <c r="K23" s="52" t="str">
        <f t="shared" ref="K23" si="20">IF(G23*J23= 0,"",G23*J23)</f>
        <v/>
      </c>
      <c r="L23" s="103">
        <f t="shared" si="7"/>
        <v>0</v>
      </c>
      <c r="M23" s="103">
        <f t="shared" si="2"/>
        <v>0</v>
      </c>
      <c r="N23" s="103">
        <f t="shared" si="8"/>
        <v>0</v>
      </c>
      <c r="O23" s="52" t="str">
        <f t="shared" si="9"/>
        <v/>
      </c>
      <c r="P23" s="47" t="str">
        <f t="shared" si="10"/>
        <v/>
      </c>
      <c r="Q23" s="179">
        <v>5</v>
      </c>
      <c r="R23" s="177">
        <f t="shared" si="17"/>
        <v>217.8</v>
      </c>
      <c r="S23" s="177" t="str">
        <f>IF(AND(TRIM(R23)&lt;&gt;"",TRIM(G23)&lt;&gt;""),(G23*319.999849189052)/R23,"")</f>
        <v/>
      </c>
      <c r="T23" s="149">
        <v>10</v>
      </c>
      <c r="U23" s="100">
        <v>8</v>
      </c>
      <c r="V23" s="45"/>
      <c r="W23" s="45"/>
      <c r="X23" s="45"/>
      <c r="Y23" s="56">
        <f t="shared" si="3"/>
        <v>0</v>
      </c>
      <c r="Z23" s="56">
        <f t="shared" si="18"/>
        <v>0</v>
      </c>
      <c r="AA23" s="47">
        <f t="shared" si="19"/>
        <v>0</v>
      </c>
    </row>
    <row r="24" spans="2:27" ht="17.45" customHeight="1" x14ac:dyDescent="0.2">
      <c r="B24" s="141" t="s">
        <v>49</v>
      </c>
      <c r="C24" s="141" t="s">
        <v>49</v>
      </c>
      <c r="D24" s="140" t="s">
        <v>50</v>
      </c>
      <c r="E24" s="31" t="s">
        <v>69</v>
      </c>
      <c r="F24" s="31" t="s">
        <v>70</v>
      </c>
      <c r="G24" s="67"/>
      <c r="H24" s="52">
        <v>1925</v>
      </c>
      <c r="I24" s="52" t="str">
        <f t="shared" si="0"/>
        <v/>
      </c>
      <c r="J24" s="52">
        <v>1925</v>
      </c>
      <c r="K24" s="52" t="str">
        <f t="shared" ref="K24" si="21">IF(G24*J24= 0,"",G24*J24)</f>
        <v/>
      </c>
      <c r="L24" s="103">
        <f t="shared" si="7"/>
        <v>0</v>
      </c>
      <c r="M24" s="103">
        <f t="shared" si="2"/>
        <v>0</v>
      </c>
      <c r="N24" s="103">
        <f t="shared" si="8"/>
        <v>0</v>
      </c>
      <c r="O24" s="52" t="str">
        <f t="shared" si="9"/>
        <v/>
      </c>
      <c r="P24" s="47" t="str">
        <f t="shared" si="10"/>
        <v/>
      </c>
      <c r="Q24" s="60">
        <f>R24/43.56</f>
        <v>0.39003673094582181</v>
      </c>
      <c r="R24" s="69">
        <v>16.989999999999998</v>
      </c>
      <c r="S24" s="177" t="str">
        <f>IF(AND(TRIM(R24)&lt;&gt;"",TRIM(G24)&lt;&gt;""),(G24*17.1)/R24,"")</f>
        <v/>
      </c>
      <c r="T24" s="45"/>
      <c r="U24" s="45"/>
      <c r="V24" s="45"/>
      <c r="W24" s="45"/>
      <c r="X24" s="45"/>
      <c r="Y24" s="56">
        <f t="shared" si="3"/>
        <v>0</v>
      </c>
      <c r="Z24" s="56">
        <f t="shared" ref="Z24:Z31" si="22">IF(G24 &lt;&gt;"", Z$60,0)</f>
        <v>0</v>
      </c>
      <c r="AA24" s="47">
        <f t="shared" ref="AA24:AA46" si="23">IF(G24 = "",0,J24*G24)</f>
        <v>0</v>
      </c>
    </row>
    <row r="25" spans="2:27" ht="17.45" customHeight="1" x14ac:dyDescent="0.2">
      <c r="B25" s="141" t="s">
        <v>49</v>
      </c>
      <c r="C25" s="141" t="s">
        <v>49</v>
      </c>
      <c r="D25" s="140" t="s">
        <v>50</v>
      </c>
      <c r="E25" s="31" t="s">
        <v>71</v>
      </c>
      <c r="F25" s="31" t="s">
        <v>70</v>
      </c>
      <c r="G25" s="67"/>
      <c r="H25" s="52">
        <v>1925</v>
      </c>
      <c r="I25" s="52" t="str">
        <f t="shared" si="0"/>
        <v/>
      </c>
      <c r="J25" s="52">
        <v>1732.5</v>
      </c>
      <c r="K25" s="52" t="str">
        <f t="shared" ref="K25" si="24">IF(G25*J25= 0,"",G25*J25)</f>
        <v/>
      </c>
      <c r="L25" s="103">
        <f t="shared" si="7"/>
        <v>0</v>
      </c>
      <c r="M25" s="103">
        <f t="shared" si="2"/>
        <v>0</v>
      </c>
      <c r="N25" s="103">
        <f t="shared" si="8"/>
        <v>0</v>
      </c>
      <c r="O25" s="52" t="str">
        <f t="shared" si="9"/>
        <v/>
      </c>
      <c r="P25" s="47" t="str">
        <f t="shared" si="10"/>
        <v/>
      </c>
      <c r="Q25" s="60">
        <f>R25/43.56</f>
        <v>0.39003673094582181</v>
      </c>
      <c r="R25" s="69">
        <v>16.989999999999998</v>
      </c>
      <c r="S25" s="177" t="str">
        <f>IF(AND(TRIM(R25)&lt;&gt;"",TRIM(G25)&lt;&gt;""),(G25*17.1)/R25,"")</f>
        <v/>
      </c>
      <c r="T25" s="45"/>
      <c r="U25" s="45"/>
      <c r="V25" s="45"/>
      <c r="W25" s="45"/>
      <c r="X25" s="45"/>
      <c r="Y25" s="56">
        <f t="shared" si="3"/>
        <v>0</v>
      </c>
      <c r="Z25" s="56">
        <f t="shared" si="22"/>
        <v>0</v>
      </c>
      <c r="AA25" s="47">
        <f>IF(G25 = "",0,J25*G25)</f>
        <v>0</v>
      </c>
    </row>
    <row r="26" spans="2:27" ht="21.95" customHeight="1" x14ac:dyDescent="0.2">
      <c r="B26" s="141" t="s">
        <v>49</v>
      </c>
      <c r="C26" s="141" t="s">
        <v>49</v>
      </c>
      <c r="D26" s="140" t="s">
        <v>50</v>
      </c>
      <c r="E26" s="31" t="s">
        <v>72</v>
      </c>
      <c r="F26" s="31" t="s">
        <v>56</v>
      </c>
      <c r="G26" s="67"/>
      <c r="H26" s="52">
        <v>561</v>
      </c>
      <c r="I26" s="52" t="str">
        <f t="shared" si="0"/>
        <v/>
      </c>
      <c r="J26" s="52">
        <v>561</v>
      </c>
      <c r="K26" s="52" t="str">
        <f t="shared" ref="K26" si="25">IF(G26*J26= 0,"",G26*J26)</f>
        <v/>
      </c>
      <c r="L26" s="103">
        <f t="shared" si="7"/>
        <v>0</v>
      </c>
      <c r="M26" s="103">
        <f t="shared" si="2"/>
        <v>0</v>
      </c>
      <c r="N26" s="103">
        <f t="shared" si="8"/>
        <v>0</v>
      </c>
      <c r="O26" s="52" t="str">
        <f t="shared" si="9"/>
        <v/>
      </c>
      <c r="P26" s="47" t="str">
        <f t="shared" si="10"/>
        <v/>
      </c>
      <c r="Q26" s="68">
        <v>4</v>
      </c>
      <c r="R26" s="87">
        <f t="shared" ref="R26:R30" si="26">Q26*43.56</f>
        <v>174.24</v>
      </c>
      <c r="S26" s="177" t="str">
        <f>IF(AND(TRIM(R26)&lt;&gt;"",TRIM(G26)&lt;&gt;""),(G26*319.999849189052)/R26,"")</f>
        <v/>
      </c>
      <c r="T26" s="45"/>
      <c r="U26" s="45"/>
      <c r="V26" s="45"/>
      <c r="W26" s="45"/>
      <c r="X26" s="99"/>
      <c r="Y26" s="56">
        <f t="shared" si="3"/>
        <v>0</v>
      </c>
      <c r="Z26" s="56">
        <f t="shared" si="22"/>
        <v>0</v>
      </c>
      <c r="AA26" s="47">
        <f t="shared" si="23"/>
        <v>0</v>
      </c>
    </row>
    <row r="27" spans="2:27" ht="28.5" customHeight="1" x14ac:dyDescent="0.2">
      <c r="B27" s="141" t="s">
        <v>49</v>
      </c>
      <c r="C27" s="141" t="s">
        <v>49</v>
      </c>
      <c r="D27" s="139" t="s">
        <v>73</v>
      </c>
      <c r="E27" s="31" t="s">
        <v>74</v>
      </c>
      <c r="F27" s="31" t="s">
        <v>56</v>
      </c>
      <c r="G27" s="67"/>
      <c r="H27" s="52">
        <v>561</v>
      </c>
      <c r="I27" s="52" t="str">
        <f t="shared" si="0"/>
        <v/>
      </c>
      <c r="J27" s="52">
        <v>493.5</v>
      </c>
      <c r="K27" s="52" t="str">
        <f t="shared" ref="K27" si="27">IF(G27*J27= 0,"",G27*J27)</f>
        <v/>
      </c>
      <c r="L27" s="103">
        <f t="shared" si="7"/>
        <v>0</v>
      </c>
      <c r="M27" s="103">
        <f t="shared" si="2"/>
        <v>0</v>
      </c>
      <c r="N27" s="103">
        <f t="shared" si="8"/>
        <v>0</v>
      </c>
      <c r="O27" s="52" t="str">
        <f t="shared" si="9"/>
        <v/>
      </c>
      <c r="P27" s="47" t="str">
        <f t="shared" si="10"/>
        <v/>
      </c>
      <c r="Q27" s="68">
        <v>4</v>
      </c>
      <c r="R27" s="87">
        <f t="shared" si="26"/>
        <v>174.24</v>
      </c>
      <c r="S27" s="177" t="str">
        <f>IF(AND(TRIM(R27)&lt;&gt;"",TRIM(G27)&lt;&gt;""),(G27*319.999849189052)/R27,"")</f>
        <v/>
      </c>
      <c r="T27" s="54">
        <v>6</v>
      </c>
      <c r="U27" s="55">
        <v>25</v>
      </c>
      <c r="V27" s="56">
        <v>6</v>
      </c>
      <c r="W27" s="98" t="str">
        <f>IF(AND(G27&gt;=V27,G29&gt;=V29),"Yes","No")</f>
        <v>No</v>
      </c>
      <c r="X27" s="100">
        <v>21</v>
      </c>
      <c r="Y27" s="56">
        <f t="shared" si="3"/>
        <v>0</v>
      </c>
      <c r="Z27" s="56">
        <f t="shared" si="22"/>
        <v>0</v>
      </c>
      <c r="AA27" s="47">
        <f t="shared" si="23"/>
        <v>0</v>
      </c>
    </row>
    <row r="28" spans="2:27" ht="28.5" customHeight="1" x14ac:dyDescent="0.2">
      <c r="B28" s="141"/>
      <c r="C28" s="141" t="s">
        <v>49</v>
      </c>
      <c r="D28" s="140" t="s">
        <v>50</v>
      </c>
      <c r="E28" s="31" t="s">
        <v>75</v>
      </c>
      <c r="F28" s="31" t="s">
        <v>76</v>
      </c>
      <c r="G28" s="67"/>
      <c r="H28" s="52">
        <v>1900.1</v>
      </c>
      <c r="I28" s="52" t="str">
        <f t="shared" si="0"/>
        <v/>
      </c>
      <c r="J28" s="52">
        <v>1900.1</v>
      </c>
      <c r="K28" s="52" t="str">
        <f t="shared" ref="K28" si="28">IF(G28*J28= 0,"",G28*J28)</f>
        <v/>
      </c>
      <c r="L28" s="103">
        <f t="shared" si="7"/>
        <v>0</v>
      </c>
      <c r="M28" s="103">
        <f t="shared" si="2"/>
        <v>0</v>
      </c>
      <c r="N28" s="103">
        <f t="shared" si="8"/>
        <v>0</v>
      </c>
      <c r="O28" s="52" t="str">
        <f t="shared" si="9"/>
        <v/>
      </c>
      <c r="P28" s="47" t="str">
        <f t="shared" si="10"/>
        <v/>
      </c>
      <c r="Q28" s="179">
        <v>0.19400000000000001</v>
      </c>
      <c r="R28" s="177">
        <f t="shared" si="26"/>
        <v>8.4506399999999999</v>
      </c>
      <c r="S28" s="177" t="str">
        <f>IF(AND(TRIM(R28)&lt;&gt;"",TRIM(G28)&lt;&gt;""),(G28*176)/R28,"")</f>
        <v/>
      </c>
      <c r="T28" s="45"/>
      <c r="U28" s="45"/>
      <c r="V28" s="45"/>
      <c r="W28" s="45"/>
      <c r="X28" s="45"/>
      <c r="Y28" s="56">
        <f t="shared" si="3"/>
        <v>0</v>
      </c>
      <c r="Z28" s="56">
        <f t="shared" si="22"/>
        <v>0</v>
      </c>
      <c r="AA28" s="47">
        <f t="shared" si="23"/>
        <v>0</v>
      </c>
    </row>
    <row r="29" spans="2:27" ht="28.5" customHeight="1" x14ac:dyDescent="0.2">
      <c r="B29" s="141" t="s">
        <v>49</v>
      </c>
      <c r="C29" s="141" t="s">
        <v>49</v>
      </c>
      <c r="D29" s="139" t="s">
        <v>77</v>
      </c>
      <c r="E29" s="31" t="s">
        <v>78</v>
      </c>
      <c r="F29" s="31" t="s">
        <v>56</v>
      </c>
      <c r="G29" s="67"/>
      <c r="H29" s="52">
        <v>487.2</v>
      </c>
      <c r="I29" s="52" t="str">
        <f t="shared" si="0"/>
        <v/>
      </c>
      <c r="J29" s="52">
        <v>487.2</v>
      </c>
      <c r="K29" s="52" t="str">
        <f t="shared" ref="K29" si="29">IF(G29*J29= 0,"",G29*J29)</f>
        <v/>
      </c>
      <c r="L29" s="103">
        <f t="shared" si="7"/>
        <v>0</v>
      </c>
      <c r="M29" s="103">
        <f t="shared" si="2"/>
        <v>0</v>
      </c>
      <c r="N29" s="103">
        <f t="shared" si="8"/>
        <v>0</v>
      </c>
      <c r="O29" s="52" t="str">
        <f t="shared" si="9"/>
        <v/>
      </c>
      <c r="P29" s="47" t="str">
        <f t="shared" si="10"/>
        <v/>
      </c>
      <c r="Q29" s="68">
        <v>1</v>
      </c>
      <c r="R29" s="87">
        <f t="shared" si="26"/>
        <v>43.56</v>
      </c>
      <c r="S29" s="177" t="str">
        <f>IF(AND(TRIM(R29)&lt;&gt;"",TRIM(G29)&lt;&gt;""),(G29*319.999849189052)/R29,"")</f>
        <v/>
      </c>
      <c r="T29" s="45"/>
      <c r="U29" s="45"/>
      <c r="V29" s="56">
        <v>2</v>
      </c>
      <c r="W29" s="98" t="str">
        <f>IF(AND(G27&gt;=V27,G29&gt;=V29),"Yes","No")</f>
        <v>No</v>
      </c>
      <c r="X29" s="100">
        <v>26</v>
      </c>
      <c r="Y29" s="56">
        <f t="shared" si="3"/>
        <v>0</v>
      </c>
      <c r="Z29" s="56">
        <f t="shared" si="22"/>
        <v>0</v>
      </c>
      <c r="AA29" s="47">
        <f>IF(G29 = "",0,J29*G29)</f>
        <v>0</v>
      </c>
    </row>
    <row r="30" spans="2:27" ht="18" customHeight="1" x14ac:dyDescent="0.2">
      <c r="B30" s="141" t="s">
        <v>49</v>
      </c>
      <c r="C30" s="141" t="s">
        <v>49</v>
      </c>
      <c r="D30" s="139" t="s">
        <v>79</v>
      </c>
      <c r="E30" s="31" t="s">
        <v>80</v>
      </c>
      <c r="F30" s="31" t="s">
        <v>81</v>
      </c>
      <c r="G30" s="67"/>
      <c r="H30" s="52">
        <v>890.8</v>
      </c>
      <c r="I30" s="52" t="str">
        <f t="shared" si="0"/>
        <v/>
      </c>
      <c r="J30" s="52">
        <v>890.8</v>
      </c>
      <c r="K30" s="52" t="str">
        <f t="shared" ref="K30" si="30">IF(G30*J30= 0,"",G30*J30)</f>
        <v/>
      </c>
      <c r="L30" s="103">
        <f t="shared" si="7"/>
        <v>0</v>
      </c>
      <c r="M30" s="103">
        <f t="shared" si="2"/>
        <v>0</v>
      </c>
      <c r="N30" s="103">
        <f t="shared" si="8"/>
        <v>0</v>
      </c>
      <c r="O30" s="52" t="str">
        <f t="shared" si="9"/>
        <v/>
      </c>
      <c r="P30" s="47" t="str">
        <f t="shared" si="10"/>
        <v/>
      </c>
      <c r="Q30" s="68">
        <v>4</v>
      </c>
      <c r="R30" s="87">
        <f t="shared" si="26"/>
        <v>174.24</v>
      </c>
      <c r="S30" s="177" t="str">
        <f>IF(AND(TRIM(R30)&lt;&gt;"",TRIM(G30)&lt;&gt;""),(G30*348.16)/R30,"")</f>
        <v/>
      </c>
      <c r="T30" s="54">
        <v>1</v>
      </c>
      <c r="U30" s="55">
        <v>25</v>
      </c>
      <c r="V30" s="56"/>
      <c r="W30" s="56"/>
      <c r="X30" s="101"/>
      <c r="Y30" s="56">
        <f t="shared" si="3"/>
        <v>0</v>
      </c>
      <c r="Z30" s="56">
        <f t="shared" si="22"/>
        <v>0</v>
      </c>
      <c r="AA30" s="47">
        <f>IF(G30 = "",0,J30*G30)</f>
        <v>0</v>
      </c>
    </row>
    <row r="31" spans="2:27" ht="17.45" customHeight="1" x14ac:dyDescent="0.2">
      <c r="B31" s="141" t="s">
        <v>49</v>
      </c>
      <c r="C31" s="141" t="s">
        <v>49</v>
      </c>
      <c r="D31" s="140" t="s">
        <v>50</v>
      </c>
      <c r="E31" s="31" t="s">
        <v>82</v>
      </c>
      <c r="F31" s="31" t="s">
        <v>83</v>
      </c>
      <c r="G31" s="67"/>
      <c r="H31" s="52">
        <v>743.1</v>
      </c>
      <c r="I31" s="52" t="str">
        <f t="shared" si="0"/>
        <v/>
      </c>
      <c r="J31" s="52">
        <v>743.1</v>
      </c>
      <c r="K31" s="52" t="str">
        <f t="shared" ref="K31" si="31">IF(G31*J31= 0,"",G31*J31)</f>
        <v/>
      </c>
      <c r="L31" s="103">
        <f t="shared" si="7"/>
        <v>0</v>
      </c>
      <c r="M31" s="103">
        <f t="shared" si="2"/>
        <v>0</v>
      </c>
      <c r="N31" s="103">
        <f t="shared" si="8"/>
        <v>0</v>
      </c>
      <c r="O31" s="52" t="str">
        <f t="shared" si="9"/>
        <v/>
      </c>
      <c r="P31" s="47" t="str">
        <f t="shared" si="10"/>
        <v/>
      </c>
      <c r="Q31" s="53">
        <f>R31/43.56</f>
        <v>0.39990817263544537</v>
      </c>
      <c r="R31" s="69">
        <v>17.420000000000002</v>
      </c>
      <c r="S31" s="177" t="str">
        <f>IF(AND(TRIM(R31)&lt;&gt;"",TRIM(G31)&lt;&gt;""),(G31*87)/R31,"")</f>
        <v/>
      </c>
      <c r="T31" s="45"/>
      <c r="U31" s="45"/>
      <c r="V31" s="45"/>
      <c r="W31" s="45"/>
      <c r="X31" s="45"/>
      <c r="Y31" s="56">
        <f t="shared" si="3"/>
        <v>0</v>
      </c>
      <c r="Z31" s="56">
        <f t="shared" si="22"/>
        <v>0</v>
      </c>
      <c r="AA31" s="47">
        <f t="shared" si="23"/>
        <v>0</v>
      </c>
    </row>
    <row r="32" spans="2:27" ht="17.45" customHeight="1" x14ac:dyDescent="0.2">
      <c r="B32" s="141"/>
      <c r="C32" s="141" t="s">
        <v>49</v>
      </c>
      <c r="D32" s="241" t="s">
        <v>84</v>
      </c>
      <c r="E32" s="31" t="s">
        <v>85</v>
      </c>
      <c r="F32" s="31" t="s">
        <v>56</v>
      </c>
      <c r="G32" s="67"/>
      <c r="H32" s="52">
        <v>525</v>
      </c>
      <c r="I32" s="52" t="str">
        <f t="shared" si="0"/>
        <v/>
      </c>
      <c r="J32" s="52">
        <v>525</v>
      </c>
      <c r="K32" s="52" t="str">
        <f t="shared" ref="K32" si="32">IF(G32*J32= 0,"",G32*J32)</f>
        <v/>
      </c>
      <c r="L32" s="103">
        <f t="shared" si="7"/>
        <v>0</v>
      </c>
      <c r="M32" s="103">
        <f t="shared" si="2"/>
        <v>0</v>
      </c>
      <c r="N32" s="103">
        <f t="shared" si="8"/>
        <v>0</v>
      </c>
      <c r="O32" s="52" t="str">
        <f t="shared" si="9"/>
        <v/>
      </c>
      <c r="P32" s="47" t="str">
        <f t="shared" si="10"/>
        <v/>
      </c>
      <c r="Q32" s="178">
        <f>R32/43.56</f>
        <v>2.3298898071625342</v>
      </c>
      <c r="R32" s="182">
        <v>101.49</v>
      </c>
      <c r="S32" s="177" t="str">
        <f>IF(AND(TRIM(R32)&lt;&gt;"",TRIM(G32)&lt;&gt;""),(G32*319.999849189052)/R32,"")</f>
        <v/>
      </c>
      <c r="T32" s="45"/>
      <c r="U32" s="45"/>
      <c r="V32" s="45"/>
      <c r="W32" s="45"/>
      <c r="X32" s="45"/>
      <c r="Y32" s="45">
        <v>0</v>
      </c>
      <c r="Z32" s="45">
        <v>0</v>
      </c>
      <c r="AA32" s="47">
        <f t="shared" si="23"/>
        <v>0</v>
      </c>
    </row>
    <row r="33" spans="2:28" ht="17.45" customHeight="1" x14ac:dyDescent="0.2">
      <c r="B33" s="141"/>
      <c r="C33" s="141" t="s">
        <v>49</v>
      </c>
      <c r="D33" s="242"/>
      <c r="E33" s="31" t="s">
        <v>86</v>
      </c>
      <c r="F33" s="31" t="s">
        <v>56</v>
      </c>
      <c r="G33" s="67"/>
      <c r="H33" s="52">
        <v>525</v>
      </c>
      <c r="I33" s="52" t="str">
        <f t="shared" si="0"/>
        <v/>
      </c>
      <c r="J33" s="52">
        <v>431</v>
      </c>
      <c r="K33" s="52" t="str">
        <f t="shared" ref="K33:K35" si="33">IF(G33*J33= 0,"",G33*J33)</f>
        <v/>
      </c>
      <c r="L33" s="103">
        <f t="shared" si="7"/>
        <v>0</v>
      </c>
      <c r="M33" s="103">
        <f t="shared" si="2"/>
        <v>0</v>
      </c>
      <c r="N33" s="103">
        <f t="shared" si="8"/>
        <v>0</v>
      </c>
      <c r="O33" s="52" t="str">
        <f t="shared" si="9"/>
        <v/>
      </c>
      <c r="P33" s="47" t="str">
        <f t="shared" si="10"/>
        <v/>
      </c>
      <c r="Q33" s="178">
        <f>R33/43.56</f>
        <v>2.3298898071625342</v>
      </c>
      <c r="R33" s="182">
        <v>101.49</v>
      </c>
      <c r="S33" s="177" t="str">
        <f>IF(AND(TRIM(R33)&lt;&gt;"",TRIM(G33)&lt;&gt;""),(G33*319.999849189052)/R33,"")</f>
        <v/>
      </c>
      <c r="T33" s="45"/>
      <c r="U33" s="45"/>
      <c r="V33" s="45"/>
      <c r="W33" s="45"/>
      <c r="X33" s="45"/>
      <c r="Y33" s="45">
        <v>0</v>
      </c>
      <c r="Z33" s="45">
        <v>0</v>
      </c>
      <c r="AA33" s="47">
        <f t="shared" si="23"/>
        <v>0</v>
      </c>
    </row>
    <row r="34" spans="2:28" ht="17.45" customHeight="1" x14ac:dyDescent="0.2">
      <c r="B34" s="141"/>
      <c r="C34" s="141" t="s">
        <v>49</v>
      </c>
      <c r="D34" s="243"/>
      <c r="E34" s="31" t="s">
        <v>87</v>
      </c>
      <c r="F34" s="31" t="s">
        <v>56</v>
      </c>
      <c r="G34" s="67"/>
      <c r="H34" s="52">
        <v>525</v>
      </c>
      <c r="I34" s="52" t="str">
        <f t="shared" si="0"/>
        <v/>
      </c>
      <c r="J34" s="52">
        <v>373.75</v>
      </c>
      <c r="K34" s="52" t="str">
        <f t="shared" si="33"/>
        <v/>
      </c>
      <c r="L34" s="103">
        <f t="shared" si="7"/>
        <v>0</v>
      </c>
      <c r="M34" s="103">
        <f t="shared" si="2"/>
        <v>0</v>
      </c>
      <c r="N34" s="103">
        <f t="shared" si="8"/>
        <v>0</v>
      </c>
      <c r="O34" s="52" t="str">
        <f t="shared" si="9"/>
        <v/>
      </c>
      <c r="P34" s="47" t="str">
        <f t="shared" si="10"/>
        <v/>
      </c>
      <c r="Q34" s="178">
        <f>R34/43.56</f>
        <v>2.3298898071625342</v>
      </c>
      <c r="R34" s="182">
        <v>101.49</v>
      </c>
      <c r="S34" s="177" t="str">
        <f>IF(AND(TRIM(R34)&lt;&gt;"",TRIM(G34)&lt;&gt;""),(G34*319.999849189052)/R34,"")</f>
        <v/>
      </c>
      <c r="T34" s="45"/>
      <c r="U34" s="45"/>
      <c r="V34" s="45"/>
      <c r="W34" s="45"/>
      <c r="X34" s="45"/>
      <c r="Y34" s="45">
        <v>0</v>
      </c>
      <c r="Z34" s="45">
        <v>0</v>
      </c>
      <c r="AA34" s="47">
        <f t="shared" si="23"/>
        <v>0</v>
      </c>
    </row>
    <row r="35" spans="2:28" ht="23.45" customHeight="1" x14ac:dyDescent="0.2">
      <c r="B35" s="141"/>
      <c r="C35" s="141" t="s">
        <v>49</v>
      </c>
      <c r="D35" s="140" t="s">
        <v>50</v>
      </c>
      <c r="E35" s="31" t="s">
        <v>88</v>
      </c>
      <c r="F35" s="31" t="s">
        <v>89</v>
      </c>
      <c r="G35" s="67"/>
      <c r="H35" s="52">
        <v>392.5</v>
      </c>
      <c r="I35" s="52" t="str">
        <f t="shared" si="0"/>
        <v/>
      </c>
      <c r="J35" s="52">
        <v>392.5</v>
      </c>
      <c r="K35" s="52" t="str">
        <f t="shared" si="33"/>
        <v/>
      </c>
      <c r="L35" s="103">
        <f t="shared" si="7"/>
        <v>0</v>
      </c>
      <c r="M35" s="103">
        <f t="shared" si="2"/>
        <v>0</v>
      </c>
      <c r="N35" s="103">
        <f t="shared" si="8"/>
        <v>0</v>
      </c>
      <c r="O35" s="52" t="str">
        <f t="shared" si="9"/>
        <v/>
      </c>
      <c r="P35" s="47" t="str">
        <f t="shared" si="10"/>
        <v/>
      </c>
      <c r="Q35" s="180">
        <v>4</v>
      </c>
      <c r="R35" s="177">
        <f t="shared" ref="R35:R38" si="34">Q35*43.56</f>
        <v>174.24</v>
      </c>
      <c r="S35" s="177" t="str">
        <f>IF(AND(TRIM(R35)&lt;&gt;"",TRIM(G35)&lt;&gt;""),(G35*176)/R35,"")</f>
        <v/>
      </c>
      <c r="T35" s="45"/>
      <c r="U35" s="45"/>
      <c r="V35" s="45"/>
      <c r="W35" s="45"/>
      <c r="X35" s="45"/>
      <c r="Y35" s="56">
        <f>IF(AND(G35 &lt;&gt;"",Z$60&lt;=0.07,$J$65="Yes",$AA$60&gt;=5000),0.01,0)</f>
        <v>0</v>
      </c>
      <c r="Z35" s="56">
        <f>IF(G35 &lt;&gt;"", Z$60,0)</f>
        <v>0</v>
      </c>
      <c r="AA35" s="47">
        <f>IF(G35 = "",0,J35*G35)</f>
        <v>0</v>
      </c>
    </row>
    <row r="36" spans="2:28" ht="29.45" customHeight="1" x14ac:dyDescent="0.2">
      <c r="B36" s="141"/>
      <c r="C36" s="141" t="s">
        <v>49</v>
      </c>
      <c r="D36" s="144" t="s">
        <v>90</v>
      </c>
      <c r="E36" s="31" t="s">
        <v>91</v>
      </c>
      <c r="F36" s="31" t="s">
        <v>89</v>
      </c>
      <c r="G36" s="67"/>
      <c r="H36" s="52">
        <v>392.5</v>
      </c>
      <c r="I36" s="52" t="str">
        <f t="shared" si="0"/>
        <v/>
      </c>
      <c r="J36" s="52">
        <v>368.95</v>
      </c>
      <c r="K36" s="52" t="str">
        <f t="shared" ref="K36" si="35">IF(G36*J36= 0,"",G36*J36)</f>
        <v/>
      </c>
      <c r="L36" s="103">
        <f t="shared" si="7"/>
        <v>0</v>
      </c>
      <c r="M36" s="103">
        <f t="shared" si="2"/>
        <v>0</v>
      </c>
      <c r="N36" s="103">
        <f t="shared" si="8"/>
        <v>0</v>
      </c>
      <c r="O36" s="52" t="str">
        <f t="shared" si="9"/>
        <v/>
      </c>
      <c r="P36" s="47" t="str">
        <f t="shared" si="10"/>
        <v/>
      </c>
      <c r="Q36" s="180">
        <v>4</v>
      </c>
      <c r="R36" s="177">
        <f t="shared" si="34"/>
        <v>174.24</v>
      </c>
      <c r="S36" s="177" t="str">
        <f>IF(AND(TRIM(R36)&lt;&gt;"",TRIM(G36)&lt;&gt;""),(G36*176)/R36,"")</f>
        <v/>
      </c>
      <c r="T36" s="45"/>
      <c r="U36" s="45"/>
      <c r="V36" s="93">
        <v>12</v>
      </c>
      <c r="W36" s="93" t="str">
        <f>IF(AND(G36&gt;=V36,G18&gt;=V18),"Yes","No")</f>
        <v>No</v>
      </c>
      <c r="X36" s="157">
        <v>8</v>
      </c>
      <c r="Y36" s="56">
        <f>IF(AND(G36 &lt;&gt;"",Z$60&lt;=0.07,$J$65="Yes",$AA$60&gt;=5000),0.01,0)</f>
        <v>0</v>
      </c>
      <c r="Z36" s="56">
        <f>IF(G36 &lt;&gt;"", Z$60,0)</f>
        <v>0</v>
      </c>
      <c r="AA36" s="47">
        <f>IF(G36 = "",0,J36*G36)</f>
        <v>0</v>
      </c>
    </row>
    <row r="37" spans="2:28" ht="17.45" customHeight="1" x14ac:dyDescent="0.2">
      <c r="B37" s="141"/>
      <c r="C37" s="141" t="s">
        <v>49</v>
      </c>
      <c r="D37" s="140" t="s">
        <v>50</v>
      </c>
      <c r="E37" s="31" t="s">
        <v>92</v>
      </c>
      <c r="F37" s="31" t="s">
        <v>93</v>
      </c>
      <c r="G37" s="67"/>
      <c r="H37" s="52">
        <v>206</v>
      </c>
      <c r="I37" s="52" t="str">
        <f t="shared" si="0"/>
        <v/>
      </c>
      <c r="J37" s="52">
        <v>206</v>
      </c>
      <c r="K37" s="52" t="str">
        <f t="shared" ref="K37" si="36">IF(G37*J37= 0,"",G37*J37)</f>
        <v/>
      </c>
      <c r="L37" s="103">
        <f t="shared" si="7"/>
        <v>0</v>
      </c>
      <c r="M37" s="103">
        <f t="shared" si="2"/>
        <v>0</v>
      </c>
      <c r="N37" s="103">
        <f t="shared" si="8"/>
        <v>0</v>
      </c>
      <c r="O37" s="52" t="str">
        <f t="shared" si="9"/>
        <v/>
      </c>
      <c r="P37" s="47" t="str">
        <f t="shared" si="10"/>
        <v/>
      </c>
      <c r="Q37" s="180">
        <v>4</v>
      </c>
      <c r="R37" s="177">
        <f t="shared" si="34"/>
        <v>174.24</v>
      </c>
      <c r="S37" s="177" t="str">
        <f>IF(AND(TRIM(R37)&lt;&gt;"",TRIM(G37)&lt;&gt;""),(G37*87.9999998763089)/R37,"")</f>
        <v/>
      </c>
      <c r="T37" s="45"/>
      <c r="U37" s="45"/>
      <c r="V37" s="45"/>
      <c r="W37" s="45"/>
      <c r="X37" s="45"/>
      <c r="Y37" s="56">
        <f>IF(AND(G37 &lt;&gt;"",Z$60&lt;=0.07,$J$65="Yes",$AA$60&gt;=5000),0.01,0)</f>
        <v>0</v>
      </c>
      <c r="Z37" s="56">
        <f>IF(G37 &lt;&gt;"", Z$60,0)</f>
        <v>0</v>
      </c>
      <c r="AA37" s="47">
        <f>IF(G37 = "",0,J37*G37)</f>
        <v>0</v>
      </c>
    </row>
    <row r="38" spans="2:28" ht="29.1" customHeight="1" x14ac:dyDescent="0.2">
      <c r="B38" s="141"/>
      <c r="C38" s="141" t="s">
        <v>49</v>
      </c>
      <c r="D38" s="144" t="s">
        <v>94</v>
      </c>
      <c r="E38" s="31" t="s">
        <v>95</v>
      </c>
      <c r="F38" s="31" t="s">
        <v>93</v>
      </c>
      <c r="G38" s="67"/>
      <c r="H38" s="52">
        <v>206</v>
      </c>
      <c r="I38" s="52" t="str">
        <f t="shared" si="0"/>
        <v/>
      </c>
      <c r="J38" s="52">
        <v>189</v>
      </c>
      <c r="K38" s="52" t="str">
        <f t="shared" ref="K38" si="37">IF(G38*J38= 0,"",G38*J38)</f>
        <v/>
      </c>
      <c r="L38" s="103">
        <f t="shared" si="7"/>
        <v>0</v>
      </c>
      <c r="M38" s="103">
        <f t="shared" si="2"/>
        <v>0</v>
      </c>
      <c r="N38" s="103">
        <f t="shared" si="8"/>
        <v>0</v>
      </c>
      <c r="O38" s="52" t="str">
        <f t="shared" si="9"/>
        <v/>
      </c>
      <c r="P38" s="47" t="str">
        <f t="shared" si="10"/>
        <v/>
      </c>
      <c r="Q38" s="180">
        <v>4</v>
      </c>
      <c r="R38" s="177">
        <f t="shared" si="34"/>
        <v>174.24</v>
      </c>
      <c r="S38" s="177" t="str">
        <f>IF(AND(TRIM(R38)&lt;&gt;"",TRIM(G38)&lt;&gt;""),(G38*87.9999998763089)/R38,"")</f>
        <v/>
      </c>
      <c r="T38" s="45"/>
      <c r="U38" s="45"/>
      <c r="V38" s="93">
        <v>24</v>
      </c>
      <c r="W38" s="93" t="str">
        <f>IF(AND(G38&gt;=V38,G18&gt;=V18),"Yes","No")</f>
        <v>No</v>
      </c>
      <c r="X38" s="157">
        <v>9.75</v>
      </c>
      <c r="Y38" s="56">
        <f>IF(AND(G38 &lt;&gt;"",Z$60&lt;=0.07,$J$65="Yes",$AA$60&gt;=5000),0.01,0)</f>
        <v>0</v>
      </c>
      <c r="Z38" s="56">
        <f>IF(G38 &lt;&gt;"", Z$60,0)</f>
        <v>0</v>
      </c>
      <c r="AA38" s="47">
        <f>IF(G38 = "",0,J38*G38)</f>
        <v>0</v>
      </c>
    </row>
    <row r="39" spans="2:28" ht="17.45" customHeight="1" x14ac:dyDescent="0.2">
      <c r="B39" s="141" t="s">
        <v>49</v>
      </c>
      <c r="C39" s="141" t="s">
        <v>49</v>
      </c>
      <c r="D39" s="241" t="s">
        <v>84</v>
      </c>
      <c r="E39" s="57" t="s">
        <v>96</v>
      </c>
      <c r="F39" s="57" t="s">
        <v>97</v>
      </c>
      <c r="G39" s="67"/>
      <c r="H39" s="52">
        <v>2031.2</v>
      </c>
      <c r="I39" s="52" t="str">
        <f t="shared" si="0"/>
        <v/>
      </c>
      <c r="J39" s="52">
        <v>2031.2</v>
      </c>
      <c r="K39" s="52" t="str">
        <f t="shared" ref="K39" si="38">IF(G39*J39= 0,"",G39*J39)</f>
        <v/>
      </c>
      <c r="L39" s="103">
        <f t="shared" si="7"/>
        <v>0</v>
      </c>
      <c r="M39" s="103">
        <f t="shared" si="2"/>
        <v>0</v>
      </c>
      <c r="N39" s="103">
        <f t="shared" si="8"/>
        <v>0</v>
      </c>
      <c r="O39" s="52" t="str">
        <f t="shared" si="9"/>
        <v/>
      </c>
      <c r="P39" s="47" t="str">
        <f t="shared" si="10"/>
        <v/>
      </c>
      <c r="Q39" s="53">
        <f t="shared" ref="Q39:Q46" si="39">R39/43.56</f>
        <v>0.1379706152433425</v>
      </c>
      <c r="R39" s="69">
        <v>6.01</v>
      </c>
      <c r="S39" s="177" t="str">
        <f>IF(AND(TRIM(R39)&lt;&gt;"",TRIM(G39)&lt;&gt;""),(G39*127.999939675621)/R39,"")</f>
        <v/>
      </c>
      <c r="T39" s="45"/>
      <c r="U39" s="45"/>
      <c r="V39" s="56">
        <v>2</v>
      </c>
      <c r="W39" s="45"/>
      <c r="X39" s="45"/>
      <c r="Y39" s="45">
        <v>0</v>
      </c>
      <c r="Z39" s="45">
        <v>0</v>
      </c>
      <c r="AA39" s="47">
        <f t="shared" si="23"/>
        <v>0</v>
      </c>
    </row>
    <row r="40" spans="2:28" ht="15" customHeight="1" x14ac:dyDescent="0.2">
      <c r="B40" s="141" t="s">
        <v>49</v>
      </c>
      <c r="C40" s="141" t="s">
        <v>49</v>
      </c>
      <c r="D40" s="242"/>
      <c r="E40" s="57" t="s">
        <v>98</v>
      </c>
      <c r="F40" s="57" t="s">
        <v>97</v>
      </c>
      <c r="G40" s="67"/>
      <c r="H40" s="52">
        <v>2031.2</v>
      </c>
      <c r="I40" s="52" t="str">
        <f t="shared" si="0"/>
        <v/>
      </c>
      <c r="J40" s="52">
        <v>1743.5</v>
      </c>
      <c r="K40" s="52" t="str">
        <f>IF(G40*J40= 0,"",G40*J40)</f>
        <v/>
      </c>
      <c r="L40" s="103">
        <f t="shared" si="7"/>
        <v>0</v>
      </c>
      <c r="M40" s="103">
        <f t="shared" si="2"/>
        <v>0</v>
      </c>
      <c r="N40" s="103">
        <f t="shared" si="8"/>
        <v>0</v>
      </c>
      <c r="O40" s="52" t="str">
        <f t="shared" si="9"/>
        <v/>
      </c>
      <c r="P40" s="47" t="str">
        <f t="shared" si="10"/>
        <v/>
      </c>
      <c r="Q40" s="53">
        <f t="shared" si="39"/>
        <v>0.1379706152433425</v>
      </c>
      <c r="R40" s="69">
        <v>6.01</v>
      </c>
      <c r="S40" s="177" t="str">
        <f>IF(AND(TRIM(R40)&lt;&gt;"",TRIM(G40)&lt;&gt;""),(G40*127.999939675621)/R40,"")</f>
        <v/>
      </c>
      <c r="T40" s="45"/>
      <c r="U40" s="45"/>
      <c r="V40" s="45"/>
      <c r="W40" s="45"/>
      <c r="X40" s="45"/>
      <c r="Y40" s="45">
        <v>0</v>
      </c>
      <c r="Z40" s="45">
        <v>0</v>
      </c>
      <c r="AA40" s="47">
        <f t="shared" si="23"/>
        <v>0</v>
      </c>
    </row>
    <row r="41" spans="2:28" ht="17.45" customHeight="1" x14ac:dyDescent="0.2">
      <c r="B41" s="141" t="s">
        <v>49</v>
      </c>
      <c r="C41" s="141" t="s">
        <v>49</v>
      </c>
      <c r="D41" s="243"/>
      <c r="E41" s="57" t="s">
        <v>99</v>
      </c>
      <c r="F41" s="57" t="s">
        <v>97</v>
      </c>
      <c r="G41" s="67"/>
      <c r="H41" s="52">
        <v>2031.2</v>
      </c>
      <c r="I41" s="52" t="str">
        <f t="shared" si="0"/>
        <v/>
      </c>
      <c r="J41" s="52">
        <v>1566.2</v>
      </c>
      <c r="K41" s="52" t="str">
        <f t="shared" ref="K41" si="40">IF(G41*J41= 0,"",G41*J41)</f>
        <v/>
      </c>
      <c r="L41" s="103">
        <f t="shared" si="7"/>
        <v>0</v>
      </c>
      <c r="M41" s="103">
        <f t="shared" si="2"/>
        <v>0</v>
      </c>
      <c r="N41" s="103">
        <f t="shared" si="8"/>
        <v>0</v>
      </c>
      <c r="O41" s="52" t="str">
        <f t="shared" si="9"/>
        <v/>
      </c>
      <c r="P41" s="47" t="str">
        <f t="shared" si="10"/>
        <v/>
      </c>
      <c r="Q41" s="53">
        <f t="shared" si="39"/>
        <v>0.1379706152433425</v>
      </c>
      <c r="R41" s="69">
        <v>6.01</v>
      </c>
      <c r="S41" s="177" t="str">
        <f>IF(AND(TRIM(R41)&lt;&gt;"",TRIM(G41)&lt;&gt;""),(G41*127.999939675621)/R41,"")</f>
        <v/>
      </c>
      <c r="T41" s="45"/>
      <c r="U41" s="45"/>
      <c r="V41" s="99"/>
      <c r="W41" s="99"/>
      <c r="X41" s="99"/>
      <c r="Y41" s="45">
        <v>0</v>
      </c>
      <c r="Z41" s="45">
        <v>0</v>
      </c>
      <c r="AA41" s="47">
        <f t="shared" si="23"/>
        <v>0</v>
      </c>
    </row>
    <row r="42" spans="2:28" ht="24.6" customHeight="1" x14ac:dyDescent="0.2">
      <c r="B42" s="141" t="s">
        <v>49</v>
      </c>
      <c r="C42" s="141" t="s">
        <v>49</v>
      </c>
      <c r="D42" s="139" t="s">
        <v>100</v>
      </c>
      <c r="E42" s="31" t="s">
        <v>101</v>
      </c>
      <c r="F42" s="31" t="s">
        <v>102</v>
      </c>
      <c r="G42" s="67"/>
      <c r="H42" s="52">
        <v>125.5</v>
      </c>
      <c r="I42" s="52" t="str">
        <f t="shared" si="0"/>
        <v/>
      </c>
      <c r="J42" s="52">
        <v>125.5</v>
      </c>
      <c r="K42" s="52" t="str">
        <f t="shared" ref="K42" si="41">IF(G42*J42= 0,"",G42*J42)</f>
        <v/>
      </c>
      <c r="L42" s="103">
        <f t="shared" si="7"/>
        <v>0</v>
      </c>
      <c r="M42" s="103">
        <f t="shared" si="2"/>
        <v>0</v>
      </c>
      <c r="N42" s="103">
        <f t="shared" si="8"/>
        <v>0</v>
      </c>
      <c r="O42" s="52" t="str">
        <f t="shared" si="9"/>
        <v/>
      </c>
      <c r="P42" s="47" t="str">
        <f t="shared" si="10"/>
        <v/>
      </c>
      <c r="Q42" s="53">
        <f t="shared" si="39"/>
        <v>3.4499540863177227</v>
      </c>
      <c r="R42" s="69">
        <v>150.28</v>
      </c>
      <c r="S42" s="177" t="str">
        <f>IF(AND(TRIM(R42)&lt;&gt;"",TRIM(G42)&lt;&gt;""),(G42*50)/R42,"")</f>
        <v/>
      </c>
      <c r="T42" s="161">
        <v>20</v>
      </c>
      <c r="U42" s="55">
        <v>11</v>
      </c>
      <c r="V42" s="164"/>
      <c r="W42" s="164"/>
      <c r="X42" s="164"/>
      <c r="Y42" s="56">
        <f t="shared" ref="Y42:Y58" si="42">IF(AND(G42 &lt;&gt;"",Z$60&lt;=0.07,$J$65="Yes",$AA$60&gt;=5000),0.01,0)</f>
        <v>0</v>
      </c>
      <c r="Z42" s="56">
        <f>IF(G42 &lt;&gt;"", Z$60,0)</f>
        <v>0</v>
      </c>
      <c r="AA42" s="47">
        <f t="shared" si="23"/>
        <v>0</v>
      </c>
    </row>
    <row r="43" spans="2:28" ht="24.6" customHeight="1" x14ac:dyDescent="0.2">
      <c r="B43" s="141"/>
      <c r="C43" s="141" t="s">
        <v>49</v>
      </c>
      <c r="D43" s="140" t="s">
        <v>50</v>
      </c>
      <c r="E43" s="31" t="s">
        <v>103</v>
      </c>
      <c r="F43" s="31" t="s">
        <v>56</v>
      </c>
      <c r="G43" s="67"/>
      <c r="H43" s="52">
        <v>1033</v>
      </c>
      <c r="I43" s="52" t="str">
        <f t="shared" si="0"/>
        <v/>
      </c>
      <c r="J43" s="52">
        <v>1033</v>
      </c>
      <c r="K43" s="52" t="str">
        <f t="shared" ref="K43" si="43">IF(G43*J43= 0,"",G43*J43)</f>
        <v/>
      </c>
      <c r="L43" s="103">
        <f t="shared" si="7"/>
        <v>0</v>
      </c>
      <c r="M43" s="103">
        <f t="shared" si="2"/>
        <v>0</v>
      </c>
      <c r="N43" s="103">
        <f t="shared" si="8"/>
        <v>0</v>
      </c>
      <c r="O43" s="52" t="str">
        <f t="shared" si="9"/>
        <v/>
      </c>
      <c r="P43" s="47" t="str">
        <f t="shared" si="10"/>
        <v/>
      </c>
      <c r="Q43" s="179">
        <v>1.5</v>
      </c>
      <c r="R43" s="177">
        <f t="shared" ref="R43:R45" si="44">Q43*43.56</f>
        <v>65.34</v>
      </c>
      <c r="S43" s="177" t="str">
        <f>IF(AND(TRIM(R43)&lt;&gt;"",TRIM(G43)&lt;&gt;""),(G43*319.999849189052)/R43,"")</f>
        <v/>
      </c>
      <c r="T43" s="160"/>
      <c r="U43" s="162"/>
      <c r="V43" s="164"/>
      <c r="W43" s="164"/>
      <c r="X43" s="164"/>
      <c r="Y43" s="56">
        <f t="shared" si="42"/>
        <v>0</v>
      </c>
      <c r="Z43" s="56">
        <f t="shared" ref="Z43:Z45" si="45">IF(G43 &lt;&gt;"", Z$60,0)</f>
        <v>0</v>
      </c>
      <c r="AA43" s="47">
        <f t="shared" si="23"/>
        <v>0</v>
      </c>
    </row>
    <row r="44" spans="2:28" ht="24.6" customHeight="1" x14ac:dyDescent="0.2">
      <c r="B44" s="141"/>
      <c r="C44" s="141" t="s">
        <v>49</v>
      </c>
      <c r="D44" s="139" t="s">
        <v>104</v>
      </c>
      <c r="E44" s="31" t="s">
        <v>105</v>
      </c>
      <c r="F44" s="31" t="s">
        <v>56</v>
      </c>
      <c r="G44" s="67"/>
      <c r="H44" s="52">
        <v>1033</v>
      </c>
      <c r="I44" s="52" t="str">
        <f t="shared" si="0"/>
        <v/>
      </c>
      <c r="J44" s="52">
        <v>939.2</v>
      </c>
      <c r="K44" s="52" t="str">
        <f t="shared" ref="K44:K46" si="46">IF(G44*J44= 0,"",G44*J44)</f>
        <v/>
      </c>
      <c r="L44" s="103">
        <f t="shared" ref="L44" si="47">IF(OR(G44 ="",G44&lt;T44,T44=0),0,G44*U44)</f>
        <v>0</v>
      </c>
      <c r="M44" s="103">
        <f t="shared" ref="M44" si="48">IF(OR(G44 ="",G44&lt;V44,W44="No",V44=0),0,G44*X44)</f>
        <v>0</v>
      </c>
      <c r="N44" s="103">
        <f t="shared" si="8"/>
        <v>0</v>
      </c>
      <c r="O44" s="52" t="str">
        <f t="shared" ref="O44" si="49">IF(AND(G44&lt;&gt;"",G44&gt;0),((K44/G44)-((L44+M44+N44)/G44)),"")</f>
        <v/>
      </c>
      <c r="P44" s="47" t="str">
        <f t="shared" ref="P44" si="50">IF(AND(G44&lt;&gt;"",G44&gt;0), G44*O44,"")</f>
        <v/>
      </c>
      <c r="Q44" s="179">
        <v>1.5</v>
      </c>
      <c r="R44" s="177">
        <f t="shared" si="44"/>
        <v>65.34</v>
      </c>
      <c r="S44" s="177" t="str">
        <f>IF(AND(TRIM(R44)&lt;&gt;"",TRIM(G44)&lt;&gt;""),(G44*319.999849189052)/R44,"")</f>
        <v/>
      </c>
      <c r="T44" s="149">
        <v>6</v>
      </c>
      <c r="U44" s="163">
        <v>40</v>
      </c>
      <c r="V44" s="164"/>
      <c r="W44" s="164"/>
      <c r="X44" s="164"/>
      <c r="Y44" s="56">
        <f t="shared" si="42"/>
        <v>0</v>
      </c>
      <c r="Z44" s="56">
        <f t="shared" si="45"/>
        <v>0</v>
      </c>
      <c r="AA44" s="47">
        <f t="shared" si="23"/>
        <v>0</v>
      </c>
    </row>
    <row r="45" spans="2:28" ht="24.6" customHeight="1" x14ac:dyDescent="0.2">
      <c r="B45" s="141"/>
      <c r="C45" s="141" t="s">
        <v>49</v>
      </c>
      <c r="D45" s="139" t="s">
        <v>106</v>
      </c>
      <c r="E45" s="31" t="s">
        <v>107</v>
      </c>
      <c r="F45" s="31" t="s">
        <v>108</v>
      </c>
      <c r="G45" s="67"/>
      <c r="H45" s="52">
        <v>498</v>
      </c>
      <c r="I45" s="52" t="str">
        <f t="shared" si="0"/>
        <v/>
      </c>
      <c r="J45" s="52">
        <v>498</v>
      </c>
      <c r="K45" s="52" t="str">
        <f t="shared" si="46"/>
        <v/>
      </c>
      <c r="L45" s="103">
        <f>IF(OR(G45 ="",G45&lt;T45,T45=0),0,G45*U45)</f>
        <v>0</v>
      </c>
      <c r="M45" s="103">
        <f>IF(OR(G45 ="",G45&lt;V45,W45="No",V45=0),0,G45*X45)</f>
        <v>0</v>
      </c>
      <c r="N45" s="103">
        <f t="shared" si="8"/>
        <v>0</v>
      </c>
      <c r="O45" s="52" t="str">
        <f>IF(AND(G45&lt;&gt;"",G45&gt;0),((K45/G45)-((L45+M45+N45)/G45)),"")</f>
        <v/>
      </c>
      <c r="P45" s="47" t="str">
        <f>IF(AND(G45&lt;&gt;"",G45&gt;0), G45*O45,"")</f>
        <v/>
      </c>
      <c r="Q45" s="180">
        <v>0.73499999999999999</v>
      </c>
      <c r="R45" s="177">
        <f t="shared" si="44"/>
        <v>32.016600000000004</v>
      </c>
      <c r="S45" s="177" t="str">
        <f>IF(AND(TRIM(R45)&lt;&gt;"",TRIM(G45)&lt;&gt;""),(G45*127.999939675621)/R45,"")</f>
        <v/>
      </c>
      <c r="T45" s="149">
        <v>8</v>
      </c>
      <c r="U45" s="163">
        <v>25</v>
      </c>
      <c r="V45" s="164"/>
      <c r="W45" s="164"/>
      <c r="X45" s="164"/>
      <c r="Y45" s="56">
        <f t="shared" si="42"/>
        <v>0</v>
      </c>
      <c r="Z45" s="56">
        <f t="shared" si="45"/>
        <v>0</v>
      </c>
      <c r="AA45" s="47">
        <f t="shared" si="23"/>
        <v>0</v>
      </c>
    </row>
    <row r="46" spans="2:28" ht="32.1" customHeight="1" x14ac:dyDescent="0.2">
      <c r="B46" s="141" t="s">
        <v>49</v>
      </c>
      <c r="C46" s="141" t="s">
        <v>49</v>
      </c>
      <c r="D46" s="139" t="s">
        <v>109</v>
      </c>
      <c r="E46" s="31" t="s">
        <v>110</v>
      </c>
      <c r="F46" s="31" t="s">
        <v>111</v>
      </c>
      <c r="G46" s="67"/>
      <c r="H46" s="52">
        <v>405.3</v>
      </c>
      <c r="I46" s="52" t="str">
        <f>IF(G46*H46= 0,"",G46*H46)</f>
        <v/>
      </c>
      <c r="J46" s="52">
        <v>405.3</v>
      </c>
      <c r="K46" s="52" t="str">
        <f t="shared" si="46"/>
        <v/>
      </c>
      <c r="L46" s="103">
        <f>IF(OR(G46 ="",G46&lt;T46,T46=0),0,G46*U46)</f>
        <v>0</v>
      </c>
      <c r="M46" s="103">
        <f>IF(OR(G46 ="",G46&lt;V46,W46="No",V46=0),0,G46*X46)</f>
        <v>0</v>
      </c>
      <c r="N46" s="103">
        <f t="shared" si="8"/>
        <v>0</v>
      </c>
      <c r="O46" s="52" t="str">
        <f>IF(AND(G46&lt;&gt;"",G46&gt;0),((K46/G46)-((L46+M46+N46)/G46)),"")</f>
        <v/>
      </c>
      <c r="P46" s="47" t="str">
        <f>IF(AND(G46&lt;&gt;"",G46&gt;0), G46*O46,"")</f>
        <v/>
      </c>
      <c r="Q46" s="53">
        <f t="shared" si="39"/>
        <v>2.2956841138659319E-2</v>
      </c>
      <c r="R46" s="69">
        <v>1</v>
      </c>
      <c r="S46" s="177" t="str">
        <f>IF(AND(TRIM(R46)&lt;&gt;"",TRIM(G46)&lt;&gt;""),(G46*6)/R46,"")</f>
        <v/>
      </c>
      <c r="T46" s="45"/>
      <c r="U46" s="45"/>
      <c r="V46" s="101">
        <v>6</v>
      </c>
      <c r="W46" s="150" t="str">
        <f>IF(AND((G39+G40+G41)&gt;=V39,G46&gt;=V46),"Yes","No")</f>
        <v>No</v>
      </c>
      <c r="X46" s="151">
        <v>25</v>
      </c>
      <c r="Y46" s="56">
        <f t="shared" si="42"/>
        <v>0</v>
      </c>
      <c r="Z46" s="56">
        <f>IF(G46 &lt;&gt;"", Z$60,0)</f>
        <v>0</v>
      </c>
      <c r="AA46" s="47">
        <f t="shared" si="23"/>
        <v>0</v>
      </c>
    </row>
    <row r="47" spans="2:28" ht="18" customHeight="1" x14ac:dyDescent="0.2">
      <c r="B47" s="137"/>
      <c r="C47" s="137"/>
      <c r="D47" s="244" t="s">
        <v>112</v>
      </c>
      <c r="E47" s="245"/>
      <c r="F47" s="245"/>
      <c r="G47" s="245"/>
      <c r="H47" s="245"/>
      <c r="I47" s="245"/>
      <c r="J47" s="245"/>
      <c r="K47" s="245"/>
      <c r="L47" s="245"/>
      <c r="M47" s="245"/>
      <c r="N47" s="245"/>
      <c r="O47" s="245"/>
      <c r="P47" s="245"/>
      <c r="Q47" s="245"/>
      <c r="R47" s="245"/>
      <c r="S47" s="246"/>
      <c r="T47" s="45"/>
      <c r="U47" s="45"/>
      <c r="V47" s="164"/>
      <c r="W47" s="164"/>
      <c r="X47" s="164"/>
      <c r="Y47" s="56">
        <f t="shared" si="42"/>
        <v>0</v>
      </c>
      <c r="Z47" s="56">
        <f t="shared" ref="Z47:Z58" si="51">IF(G47 &lt;&gt;"", Z$60,0)</f>
        <v>0</v>
      </c>
      <c r="AA47" s="234">
        <f t="shared" ref="AA47" si="52">IF(G47 = "",0,J47*G47)</f>
        <v>0</v>
      </c>
    </row>
    <row r="48" spans="2:28" ht="18.95" customHeight="1" x14ac:dyDescent="0.2">
      <c r="B48" s="141"/>
      <c r="C48" s="141" t="s">
        <v>49</v>
      </c>
      <c r="D48" s="140" t="s">
        <v>50</v>
      </c>
      <c r="E48" s="31" t="s">
        <v>113</v>
      </c>
      <c r="F48" s="31" t="s">
        <v>114</v>
      </c>
      <c r="G48" s="67"/>
      <c r="H48" s="52"/>
      <c r="I48" s="52" t="str">
        <f>IF(G48*J48= 0,"",G48*J48)</f>
        <v/>
      </c>
      <c r="J48" s="69"/>
      <c r="K48" s="52" t="str">
        <f t="shared" ref="K48" si="53">IF(G48*J48= 0,"",G48*J48)</f>
        <v/>
      </c>
      <c r="L48" s="223">
        <f t="shared" ref="L48:L59" si="54">IF(OR(G48 ="",G48&lt;T48,T48=0),0,G48*U48)</f>
        <v>0</v>
      </c>
      <c r="M48" s="223">
        <f t="shared" ref="M48:M59" si="55">IF(OR(G48 ="",G48&lt;V48,W48="No",V48=0),0,G48*X48)</f>
        <v>0</v>
      </c>
      <c r="N48" s="223">
        <f>IF(OR(I48 ="",Y48+Z48=0),0,G48*AB48*(Y48+Z48))</f>
        <v>0</v>
      </c>
      <c r="O48" s="52" t="str">
        <f>IF(AND(G48&lt;&gt;"",G48&gt;0,J48&lt;&gt;"",J48&gt;0),((K48/G48)-((L48+M48+N48)/G48)),"")</f>
        <v/>
      </c>
      <c r="P48" s="52" t="str">
        <f t="shared" ref="P48" si="56">IF(AND(G48&lt;&gt;"",G48&gt;0,J48&lt;&gt;"",J48&gt;0), G48*O48,"")</f>
        <v/>
      </c>
      <c r="Q48" s="176">
        <v>4</v>
      </c>
      <c r="R48" s="177">
        <f t="shared" ref="R48" si="57">Q48*43.56</f>
        <v>174.24</v>
      </c>
      <c r="S48" s="233" t="str">
        <f>IF(AND(TRIM(R48)&lt;&gt;"",TRIM(G48)&lt;&gt;""),(G48*319.999849189052)/R48,"")</f>
        <v/>
      </c>
      <c r="T48" s="45"/>
      <c r="U48" s="45"/>
      <c r="V48" s="164"/>
      <c r="W48" s="164"/>
      <c r="X48" s="164"/>
      <c r="Y48" s="56">
        <f t="shared" si="42"/>
        <v>0</v>
      </c>
      <c r="Z48" s="56">
        <f t="shared" si="51"/>
        <v>0</v>
      </c>
      <c r="AA48" s="47">
        <f>IF(G48 = "",0,AB48*G48)</f>
        <v>0</v>
      </c>
      <c r="AB48" s="1">
        <v>494</v>
      </c>
    </row>
    <row r="49" spans="2:28" ht="18.95" customHeight="1" x14ac:dyDescent="0.2">
      <c r="B49" s="141"/>
      <c r="C49" s="141" t="s">
        <v>49</v>
      </c>
      <c r="D49" s="140" t="s">
        <v>115</v>
      </c>
      <c r="E49" s="31" t="s">
        <v>116</v>
      </c>
      <c r="F49" s="31" t="s">
        <v>108</v>
      </c>
      <c r="G49" s="67"/>
      <c r="H49" s="52"/>
      <c r="I49" s="52" t="str">
        <f t="shared" ref="I49:I59" si="58">IF(G49*J49= 0,"",G49*J49)</f>
        <v/>
      </c>
      <c r="J49" s="69"/>
      <c r="K49" s="52" t="str">
        <f t="shared" ref="K49:K51" si="59">IF(G49*J49= 0,"",G49*J49)</f>
        <v/>
      </c>
      <c r="L49" s="223">
        <f t="shared" si="54"/>
        <v>0</v>
      </c>
      <c r="M49" s="223">
        <f t="shared" si="55"/>
        <v>0</v>
      </c>
      <c r="N49" s="223">
        <f t="shared" ref="N49:N59" si="60">IF(OR(I49 ="",Y49+Z49=0),0,G49*AB49*(Y49+Z49))</f>
        <v>0</v>
      </c>
      <c r="O49" s="52" t="str">
        <f t="shared" ref="O49:O59" si="61">IF(AND(G49&lt;&gt;"",G49&gt;0,J49&lt;&gt;"",J49&gt;0),((K49/G49)-((L49+M49+N49)/G49)),"")</f>
        <v/>
      </c>
      <c r="P49" s="52" t="str">
        <f t="shared" ref="P49:P59" si="62">IF(AND(G49&lt;&gt;"",G49&gt;0,J49&lt;&gt;"",J49&gt;0), G49*O49,"")</f>
        <v/>
      </c>
      <c r="Q49" s="178">
        <f>R49/43.56</f>
        <v>0.5</v>
      </c>
      <c r="R49" s="69">
        <v>21.78</v>
      </c>
      <c r="S49" s="233" t="str">
        <f>IF(AND(TRIM(R49)&lt;&gt;"",TRIM(G49)&lt;&gt;""),(G49*127.999939675621)/R49,"")</f>
        <v/>
      </c>
      <c r="T49" s="149">
        <v>1</v>
      </c>
      <c r="U49" s="163">
        <v>90</v>
      </c>
      <c r="V49" s="164"/>
      <c r="W49" s="164"/>
      <c r="X49" s="164"/>
      <c r="Y49" s="56">
        <f t="shared" si="42"/>
        <v>0</v>
      </c>
      <c r="Z49" s="56">
        <f t="shared" si="51"/>
        <v>0</v>
      </c>
      <c r="AA49" s="47">
        <f t="shared" ref="AA49:AA59" si="63">IF(G49 = "",0,AB49*G49)</f>
        <v>0</v>
      </c>
      <c r="AB49" s="1">
        <v>665.2</v>
      </c>
    </row>
    <row r="50" spans="2:28" ht="18.95" customHeight="1" x14ac:dyDescent="0.2">
      <c r="B50" s="141"/>
      <c r="C50" s="141" t="s">
        <v>49</v>
      </c>
      <c r="D50" s="140" t="s">
        <v>117</v>
      </c>
      <c r="E50" s="31" t="s">
        <v>118</v>
      </c>
      <c r="F50" s="31" t="s">
        <v>119</v>
      </c>
      <c r="G50" s="67"/>
      <c r="H50" s="52"/>
      <c r="I50" s="52" t="str">
        <f t="shared" si="58"/>
        <v/>
      </c>
      <c r="J50" s="69"/>
      <c r="K50" s="52" t="str">
        <f t="shared" si="59"/>
        <v/>
      </c>
      <c r="L50" s="223">
        <f t="shared" si="54"/>
        <v>0</v>
      </c>
      <c r="M50" s="223">
        <f t="shared" si="55"/>
        <v>0</v>
      </c>
      <c r="N50" s="223">
        <f t="shared" si="60"/>
        <v>0</v>
      </c>
      <c r="O50" s="52" t="str">
        <f t="shared" si="61"/>
        <v/>
      </c>
      <c r="P50" s="52" t="str">
        <f t="shared" si="62"/>
        <v/>
      </c>
      <c r="Q50" s="176">
        <v>1.2</v>
      </c>
      <c r="R50" s="177">
        <f t="shared" ref="R50:R56" si="64">Q50*43.56</f>
        <v>52.271999999999998</v>
      </c>
      <c r="S50" s="233" t="str">
        <f>IF(AND(TRIM(R50)&lt;&gt;"",TRIM(G50)&lt;&gt;""),(G50*31.9999999550214)/R50,"")</f>
        <v/>
      </c>
      <c r="T50" s="149">
        <v>1</v>
      </c>
      <c r="U50" s="163">
        <v>24</v>
      </c>
      <c r="V50" s="164"/>
      <c r="W50" s="164"/>
      <c r="X50" s="164"/>
      <c r="Y50" s="56">
        <f t="shared" si="42"/>
        <v>0</v>
      </c>
      <c r="Z50" s="56">
        <f t="shared" si="51"/>
        <v>0</v>
      </c>
      <c r="AA50" s="47">
        <f t="shared" si="63"/>
        <v>0</v>
      </c>
      <c r="AB50" s="1">
        <v>114</v>
      </c>
    </row>
    <row r="51" spans="2:28" ht="18.95" customHeight="1" x14ac:dyDescent="0.2">
      <c r="B51" s="141"/>
      <c r="C51" s="141" t="s">
        <v>49</v>
      </c>
      <c r="D51" s="140" t="s">
        <v>50</v>
      </c>
      <c r="E51" s="31" t="s">
        <v>120</v>
      </c>
      <c r="F51" s="138" t="s">
        <v>102</v>
      </c>
      <c r="G51" s="67"/>
      <c r="H51" s="52"/>
      <c r="I51" s="52" t="str">
        <f t="shared" si="58"/>
        <v/>
      </c>
      <c r="J51" s="69"/>
      <c r="K51" s="52" t="str">
        <f t="shared" si="59"/>
        <v/>
      </c>
      <c r="L51" s="223">
        <f t="shared" si="54"/>
        <v>0</v>
      </c>
      <c r="M51" s="223">
        <f t="shared" si="55"/>
        <v>0</v>
      </c>
      <c r="N51" s="223">
        <f t="shared" si="60"/>
        <v>0</v>
      </c>
      <c r="O51" s="52" t="str">
        <f t="shared" si="61"/>
        <v/>
      </c>
      <c r="P51" s="52" t="str">
        <f t="shared" si="62"/>
        <v/>
      </c>
      <c r="Q51" s="178">
        <f>(R51*16)/43.56</f>
        <v>4.5913682277318637</v>
      </c>
      <c r="R51" s="225">
        <v>12.5</v>
      </c>
      <c r="S51" s="233" t="str">
        <f>IF(AND(TRIM(R51)&lt;&gt;"",TRIM(G51)&lt;&gt;""),(G51*50)/R51,"")</f>
        <v/>
      </c>
      <c r="T51" s="45"/>
      <c r="U51" s="45"/>
      <c r="V51" s="164"/>
      <c r="W51" s="164"/>
      <c r="X51" s="164"/>
      <c r="Y51" s="56">
        <f t="shared" si="42"/>
        <v>0</v>
      </c>
      <c r="Z51" s="56">
        <f t="shared" si="51"/>
        <v>0</v>
      </c>
      <c r="AA51" s="47">
        <f t="shared" si="63"/>
        <v>0</v>
      </c>
      <c r="AB51" s="1">
        <v>188</v>
      </c>
    </row>
    <row r="52" spans="2:28" ht="18.95" customHeight="1" x14ac:dyDescent="0.2">
      <c r="B52" s="141"/>
      <c r="C52" s="141" t="s">
        <v>49</v>
      </c>
      <c r="D52" s="140" t="s">
        <v>50</v>
      </c>
      <c r="E52" s="31" t="s">
        <v>121</v>
      </c>
      <c r="F52" s="31" t="s">
        <v>122</v>
      </c>
      <c r="G52" s="67"/>
      <c r="H52" s="52"/>
      <c r="I52" s="52" t="str">
        <f t="shared" si="58"/>
        <v/>
      </c>
      <c r="J52" s="69"/>
      <c r="K52" s="52" t="str">
        <f t="shared" ref="K52:K59" si="65">IF(G52*J52= 0,"",G52*J52)</f>
        <v/>
      </c>
      <c r="L52" s="223">
        <f t="shared" si="54"/>
        <v>0</v>
      </c>
      <c r="M52" s="223">
        <f t="shared" si="55"/>
        <v>0</v>
      </c>
      <c r="N52" s="223">
        <f t="shared" si="60"/>
        <v>0</v>
      </c>
      <c r="O52" s="52" t="str">
        <f t="shared" si="61"/>
        <v/>
      </c>
      <c r="P52" s="52" t="str">
        <f t="shared" si="62"/>
        <v/>
      </c>
      <c r="Q52" s="176">
        <v>0.25</v>
      </c>
      <c r="R52" s="177">
        <f t="shared" si="64"/>
        <v>10.89</v>
      </c>
      <c r="S52" s="233" t="str">
        <f>IF(AND(TRIM(R52)&lt;&gt;"",TRIM(G52)&lt;&gt;""),(G52*15.9999999775107)/R52,"")</f>
        <v/>
      </c>
      <c r="T52" s="45"/>
      <c r="U52" s="45"/>
      <c r="V52" s="164"/>
      <c r="W52" s="164"/>
      <c r="X52" s="164"/>
      <c r="Y52" s="56">
        <f t="shared" si="42"/>
        <v>0</v>
      </c>
      <c r="Z52" s="56">
        <f t="shared" si="51"/>
        <v>0</v>
      </c>
      <c r="AA52" s="47">
        <f t="shared" si="63"/>
        <v>0</v>
      </c>
      <c r="AB52" s="1">
        <v>533.4</v>
      </c>
    </row>
    <row r="53" spans="2:28" ht="18.95" customHeight="1" x14ac:dyDescent="0.2">
      <c r="B53" s="141"/>
      <c r="C53" s="141" t="s">
        <v>49</v>
      </c>
      <c r="D53" s="140" t="s">
        <v>50</v>
      </c>
      <c r="E53" s="31" t="s">
        <v>123</v>
      </c>
      <c r="F53" s="31" t="s">
        <v>124</v>
      </c>
      <c r="G53" s="67"/>
      <c r="H53" s="52"/>
      <c r="I53" s="52" t="str">
        <f t="shared" si="58"/>
        <v/>
      </c>
      <c r="J53" s="69"/>
      <c r="K53" s="52" t="str">
        <f t="shared" si="65"/>
        <v/>
      </c>
      <c r="L53" s="223">
        <f t="shared" si="54"/>
        <v>0</v>
      </c>
      <c r="M53" s="223">
        <f t="shared" si="55"/>
        <v>0</v>
      </c>
      <c r="N53" s="223">
        <f t="shared" si="60"/>
        <v>0</v>
      </c>
      <c r="O53" s="52" t="str">
        <f t="shared" si="61"/>
        <v/>
      </c>
      <c r="P53" s="52" t="str">
        <f t="shared" si="62"/>
        <v/>
      </c>
      <c r="Q53" s="176">
        <v>5.75</v>
      </c>
      <c r="R53" s="177">
        <f t="shared" si="64"/>
        <v>250.47000000000003</v>
      </c>
      <c r="S53" s="233" t="str">
        <f>IF(AND(TRIM(R53)&lt;&gt;"",TRIM(G53)&lt;&gt;""),(G53*319.999849189052)/R53,"")</f>
        <v/>
      </c>
      <c r="T53" s="45"/>
      <c r="U53" s="45"/>
      <c r="V53" s="164"/>
      <c r="W53" s="164"/>
      <c r="X53" s="164"/>
      <c r="Y53" s="56">
        <f t="shared" si="42"/>
        <v>0</v>
      </c>
      <c r="Z53" s="56">
        <f t="shared" si="51"/>
        <v>0</v>
      </c>
      <c r="AA53" s="47">
        <f t="shared" si="63"/>
        <v>0</v>
      </c>
      <c r="AB53" s="1">
        <v>218.75</v>
      </c>
    </row>
    <row r="54" spans="2:28" ht="18.95" customHeight="1" x14ac:dyDescent="0.2">
      <c r="B54" s="141"/>
      <c r="C54" s="141" t="s">
        <v>49</v>
      </c>
      <c r="D54" s="140" t="s">
        <v>50</v>
      </c>
      <c r="E54" s="31" t="s">
        <v>125</v>
      </c>
      <c r="F54" s="31" t="s">
        <v>126</v>
      </c>
      <c r="G54" s="67"/>
      <c r="H54" s="52"/>
      <c r="I54" s="52" t="str">
        <f t="shared" si="58"/>
        <v/>
      </c>
      <c r="J54" s="69"/>
      <c r="K54" s="52" t="str">
        <f t="shared" si="65"/>
        <v/>
      </c>
      <c r="L54" s="223">
        <f t="shared" si="54"/>
        <v>0</v>
      </c>
      <c r="M54" s="223">
        <f t="shared" si="55"/>
        <v>0</v>
      </c>
      <c r="N54" s="223">
        <f t="shared" si="60"/>
        <v>0</v>
      </c>
      <c r="O54" s="52" t="str">
        <f t="shared" si="61"/>
        <v/>
      </c>
      <c r="P54" s="52" t="str">
        <f t="shared" si="62"/>
        <v/>
      </c>
      <c r="Q54" s="176">
        <v>3</v>
      </c>
      <c r="R54" s="177">
        <f t="shared" si="64"/>
        <v>130.68</v>
      </c>
      <c r="S54" s="233" t="str">
        <f>IF(AND(TRIM(R54)&lt;&gt;"",TRIM(G54)&lt;&gt;""),(G54*8)/R54,"")</f>
        <v/>
      </c>
      <c r="T54" s="45"/>
      <c r="U54" s="45"/>
      <c r="V54" s="164"/>
      <c r="W54" s="164"/>
      <c r="X54" s="164"/>
      <c r="Y54" s="56">
        <f t="shared" si="42"/>
        <v>0</v>
      </c>
      <c r="Z54" s="56">
        <f t="shared" si="51"/>
        <v>0</v>
      </c>
      <c r="AA54" s="47">
        <f t="shared" si="63"/>
        <v>0</v>
      </c>
      <c r="AB54" s="1">
        <v>244.17</v>
      </c>
    </row>
    <row r="55" spans="2:28" ht="18.95" customHeight="1" x14ac:dyDescent="0.2">
      <c r="B55" s="141"/>
      <c r="C55" s="141" t="s">
        <v>49</v>
      </c>
      <c r="D55" s="140" t="s">
        <v>50</v>
      </c>
      <c r="E55" s="31" t="s">
        <v>127</v>
      </c>
      <c r="F55" s="31" t="s">
        <v>124</v>
      </c>
      <c r="G55" s="67"/>
      <c r="H55" s="52"/>
      <c r="I55" s="52" t="str">
        <f t="shared" si="58"/>
        <v/>
      </c>
      <c r="J55" s="69"/>
      <c r="K55" s="52" t="str">
        <f t="shared" si="65"/>
        <v/>
      </c>
      <c r="L55" s="223">
        <f t="shared" si="54"/>
        <v>0</v>
      </c>
      <c r="M55" s="223">
        <f t="shared" si="55"/>
        <v>0</v>
      </c>
      <c r="N55" s="223">
        <f t="shared" si="60"/>
        <v>0</v>
      </c>
      <c r="O55" s="52" t="str">
        <f t="shared" si="61"/>
        <v/>
      </c>
      <c r="P55" s="52" t="str">
        <f t="shared" si="62"/>
        <v/>
      </c>
      <c r="Q55" s="176">
        <v>1.5</v>
      </c>
      <c r="R55" s="177">
        <f t="shared" si="64"/>
        <v>65.34</v>
      </c>
      <c r="S55" s="233" t="str">
        <f>IF(AND(TRIM(R55)&lt;&gt;"",TRIM(G55)&lt;&gt;""),(G55*319.999849189052)/R55,"")</f>
        <v/>
      </c>
      <c r="T55" s="45"/>
      <c r="U55" s="45"/>
      <c r="V55" s="164"/>
      <c r="W55" s="164"/>
      <c r="X55" s="164"/>
      <c r="Y55" s="56">
        <f t="shared" si="42"/>
        <v>0</v>
      </c>
      <c r="Z55" s="56">
        <f t="shared" si="51"/>
        <v>0</v>
      </c>
      <c r="AA55" s="47">
        <f t="shared" si="63"/>
        <v>0</v>
      </c>
      <c r="AB55" s="1">
        <v>443.75</v>
      </c>
    </row>
    <row r="56" spans="2:28" ht="18.95" customHeight="1" x14ac:dyDescent="0.2">
      <c r="B56" s="141"/>
      <c r="C56" s="141" t="s">
        <v>49</v>
      </c>
      <c r="D56" s="140" t="s">
        <v>50</v>
      </c>
      <c r="E56" s="31" t="s">
        <v>128</v>
      </c>
      <c r="F56" s="31" t="s">
        <v>114</v>
      </c>
      <c r="G56" s="67"/>
      <c r="H56" s="52"/>
      <c r="I56" s="52" t="str">
        <f t="shared" si="58"/>
        <v/>
      </c>
      <c r="J56" s="69"/>
      <c r="K56" s="52" t="str">
        <f t="shared" si="65"/>
        <v/>
      </c>
      <c r="L56" s="223">
        <f t="shared" si="54"/>
        <v>0</v>
      </c>
      <c r="M56" s="223">
        <f t="shared" si="55"/>
        <v>0</v>
      </c>
      <c r="N56" s="223">
        <f t="shared" si="60"/>
        <v>0</v>
      </c>
      <c r="O56" s="52" t="str">
        <f t="shared" si="61"/>
        <v/>
      </c>
      <c r="P56" s="52" t="str">
        <f t="shared" si="62"/>
        <v/>
      </c>
      <c r="Q56" s="176">
        <v>5</v>
      </c>
      <c r="R56" s="177">
        <f t="shared" si="64"/>
        <v>217.8</v>
      </c>
      <c r="S56" s="233" t="str">
        <f>IF(AND(TRIM(R56)&lt;&gt;"",TRIM(G56)&lt;&gt;""),(G56*319.999849189052)/R56,"")</f>
        <v/>
      </c>
      <c r="T56" s="45"/>
      <c r="U56" s="45"/>
      <c r="V56" s="164"/>
      <c r="W56" s="164"/>
      <c r="X56" s="164"/>
      <c r="Y56" s="56">
        <f t="shared" si="42"/>
        <v>0</v>
      </c>
      <c r="Z56" s="56">
        <f t="shared" si="51"/>
        <v>0</v>
      </c>
      <c r="AA56" s="47">
        <f t="shared" si="63"/>
        <v>0</v>
      </c>
      <c r="AB56" s="1">
        <v>123.25</v>
      </c>
    </row>
    <row r="57" spans="2:28" ht="18.95" customHeight="1" x14ac:dyDescent="0.2">
      <c r="B57" s="141"/>
      <c r="C57" s="141" t="s">
        <v>49</v>
      </c>
      <c r="D57" s="140" t="s">
        <v>50</v>
      </c>
      <c r="E57" s="31" t="s">
        <v>82</v>
      </c>
      <c r="F57" s="31" t="s">
        <v>129</v>
      </c>
      <c r="G57" s="67"/>
      <c r="H57" s="52"/>
      <c r="I57" s="52" t="str">
        <f t="shared" si="58"/>
        <v/>
      </c>
      <c r="J57" s="69"/>
      <c r="K57" s="52" t="str">
        <f t="shared" si="65"/>
        <v/>
      </c>
      <c r="L57" s="223">
        <f t="shared" si="54"/>
        <v>0</v>
      </c>
      <c r="M57" s="223">
        <f t="shared" si="55"/>
        <v>0</v>
      </c>
      <c r="N57" s="223">
        <f t="shared" si="60"/>
        <v>0</v>
      </c>
      <c r="O57" s="52" t="str">
        <f t="shared" si="61"/>
        <v/>
      </c>
      <c r="P57" s="52" t="str">
        <f t="shared" si="62"/>
        <v/>
      </c>
      <c r="Q57" s="178">
        <f>R57/43.56</f>
        <v>0.39990817263544537</v>
      </c>
      <c r="R57" s="69">
        <v>17.420000000000002</v>
      </c>
      <c r="S57" s="233" t="str">
        <f>IF(AND(TRIM(R57)&lt;&gt;"",TRIM(G57)&lt;&gt;""),(G57*32)/R57,"")</f>
        <v/>
      </c>
      <c r="T57" s="45"/>
      <c r="U57" s="45"/>
      <c r="V57" s="164"/>
      <c r="W57" s="164"/>
      <c r="X57" s="164"/>
      <c r="Y57" s="56">
        <f t="shared" si="42"/>
        <v>0</v>
      </c>
      <c r="Z57" s="56">
        <f t="shared" si="51"/>
        <v>0</v>
      </c>
      <c r="AA57" s="47">
        <f t="shared" si="63"/>
        <v>0</v>
      </c>
      <c r="AB57" s="1">
        <v>282.89999999999998</v>
      </c>
    </row>
    <row r="58" spans="2:28" ht="18.95" customHeight="1" x14ac:dyDescent="0.2">
      <c r="B58" s="141"/>
      <c r="C58" s="141" t="s">
        <v>49</v>
      </c>
      <c r="D58" s="140" t="s">
        <v>50</v>
      </c>
      <c r="E58" s="31" t="s">
        <v>130</v>
      </c>
      <c r="F58" s="31" t="s">
        <v>131</v>
      </c>
      <c r="G58" s="67"/>
      <c r="H58" s="52"/>
      <c r="I58" s="52" t="str">
        <f t="shared" si="58"/>
        <v/>
      </c>
      <c r="J58" s="69"/>
      <c r="K58" s="52" t="str">
        <f t="shared" si="65"/>
        <v/>
      </c>
      <c r="L58" s="223">
        <f t="shared" si="54"/>
        <v>0</v>
      </c>
      <c r="M58" s="223">
        <f t="shared" si="55"/>
        <v>0</v>
      </c>
      <c r="N58" s="223">
        <f t="shared" si="60"/>
        <v>0</v>
      </c>
      <c r="O58" s="52" t="str">
        <f t="shared" si="61"/>
        <v/>
      </c>
      <c r="P58" s="52" t="str">
        <f t="shared" si="62"/>
        <v/>
      </c>
      <c r="Q58" s="53">
        <f>(R58*16)/43.56</f>
        <v>0.24242424242424243</v>
      </c>
      <c r="R58" s="69">
        <v>0.66</v>
      </c>
      <c r="S58" s="233" t="str">
        <f>IF(AND(TRIM(R58)&lt;&gt;"",TRIM(G58)&lt;&gt;""),(G58*5)/R58,"")</f>
        <v/>
      </c>
      <c r="T58" s="45"/>
      <c r="U58" s="45"/>
      <c r="V58" s="164"/>
      <c r="W58" s="164"/>
      <c r="X58" s="164"/>
      <c r="Y58" s="56">
        <f t="shared" si="42"/>
        <v>0</v>
      </c>
      <c r="Z58" s="56">
        <f t="shared" si="51"/>
        <v>0</v>
      </c>
      <c r="AA58" s="47">
        <f t="shared" si="63"/>
        <v>0</v>
      </c>
      <c r="AB58" s="1">
        <v>586</v>
      </c>
    </row>
    <row r="59" spans="2:28" ht="39.6" customHeight="1" x14ac:dyDescent="0.2">
      <c r="B59" s="141"/>
      <c r="C59" s="141" t="s">
        <v>49</v>
      </c>
      <c r="D59" s="145" t="s">
        <v>84</v>
      </c>
      <c r="E59" s="31" t="s">
        <v>132</v>
      </c>
      <c r="F59" s="31" t="s">
        <v>102</v>
      </c>
      <c r="G59" s="67"/>
      <c r="H59" s="52"/>
      <c r="I59" s="52" t="str">
        <f t="shared" si="58"/>
        <v/>
      </c>
      <c r="J59" s="69"/>
      <c r="K59" s="52" t="str">
        <f t="shared" si="65"/>
        <v/>
      </c>
      <c r="L59" s="223">
        <f t="shared" si="54"/>
        <v>0</v>
      </c>
      <c r="M59" s="223">
        <f t="shared" si="55"/>
        <v>0</v>
      </c>
      <c r="N59" s="223">
        <f t="shared" si="60"/>
        <v>0</v>
      </c>
      <c r="O59" s="52" t="str">
        <f t="shared" si="61"/>
        <v/>
      </c>
      <c r="P59" s="52" t="str">
        <f t="shared" si="62"/>
        <v/>
      </c>
      <c r="Q59" s="87">
        <f>(R59*16)/43.56</f>
        <v>31.955922865013772</v>
      </c>
      <c r="R59" s="69">
        <v>87</v>
      </c>
      <c r="S59" s="233" t="str">
        <f>IF(AND(TRIM(R59)&lt;&gt;"",TRIM(G59)&lt;&gt;""),(G59*50)/R59,"")</f>
        <v/>
      </c>
      <c r="T59" s="45"/>
      <c r="U59" s="45"/>
      <c r="V59" s="164"/>
      <c r="W59" s="164"/>
      <c r="X59" s="164"/>
      <c r="Y59" s="45">
        <v>0</v>
      </c>
      <c r="Z59" s="45">
        <v>0</v>
      </c>
      <c r="AA59" s="47">
        <f t="shared" si="63"/>
        <v>0</v>
      </c>
      <c r="AB59" s="1">
        <v>66</v>
      </c>
    </row>
    <row r="60" spans="2:28" ht="17.45" customHeight="1" x14ac:dyDescent="0.2">
      <c r="D60" s="14"/>
      <c r="E60" s="14"/>
      <c r="F60" s="14"/>
      <c r="G60" s="40"/>
      <c r="H60" s="15"/>
      <c r="I60" s="89">
        <f>SUM(I16:I46,I48:I59)</f>
        <v>0</v>
      </c>
      <c r="J60" s="15"/>
      <c r="K60" s="89">
        <f>SUM(K16:K46,K48:K59)</f>
        <v>0</v>
      </c>
      <c r="L60" s="229">
        <f>SUM(L16:L46,L48:L59)</f>
        <v>0</v>
      </c>
      <c r="M60" s="229">
        <f>SUM(M16:M46,M48:M59)</f>
        <v>0</v>
      </c>
      <c r="N60" s="229">
        <f>SUM(N16:N46,N48:N59)</f>
        <v>0</v>
      </c>
      <c r="O60" s="36"/>
      <c r="P60" s="89">
        <f>SUM(P16:P46,P48:P59)</f>
        <v>0</v>
      </c>
      <c r="Q60" s="16"/>
      <c r="R60" s="17"/>
      <c r="S60" s="17"/>
      <c r="T60" s="16"/>
      <c r="U60" s="16"/>
      <c r="V60" s="16"/>
      <c r="W60" s="16"/>
      <c r="X60" s="16"/>
      <c r="Y60" s="16"/>
      <c r="Z60" s="102">
        <f>IF(OR(AA$60="",AA$60&lt;5000),0,(VLOOKUP(AA60,Y5:AA10,3)))</f>
        <v>0</v>
      </c>
      <c r="AA60" s="15">
        <f>SUM(AA16:AA59)</f>
        <v>0</v>
      </c>
    </row>
    <row r="61" spans="2:28" ht="12.95" customHeight="1" x14ac:dyDescent="0.35">
      <c r="F61" s="38"/>
      <c r="G61" s="38"/>
      <c r="O61" s="64"/>
      <c r="P61" s="64"/>
      <c r="Q61" s="64"/>
      <c r="R61" s="64"/>
      <c r="S61" s="64"/>
    </row>
    <row r="62" spans="2:28" ht="21.95" customHeight="1" thickBot="1" x14ac:dyDescent="0.4">
      <c r="D62" s="44" t="s">
        <v>133</v>
      </c>
      <c r="E62" s="44"/>
      <c r="F62" s="44"/>
      <c r="G62" s="44"/>
      <c r="H62" s="38"/>
      <c r="I62" s="38"/>
      <c r="J62" s="38"/>
      <c r="K62" s="253" t="s">
        <v>134</v>
      </c>
      <c r="L62" s="253"/>
      <c r="M62" s="253"/>
      <c r="N62" s="253"/>
      <c r="O62" s="253"/>
      <c r="P62" s="253"/>
      <c r="Q62" s="253"/>
      <c r="R62" s="253"/>
      <c r="S62" s="253"/>
      <c r="T62" s="18"/>
      <c r="U62" s="18"/>
      <c r="V62" s="18"/>
      <c r="W62" s="18"/>
      <c r="X62" s="18"/>
      <c r="Y62" s="18"/>
      <c r="AA62" s="1"/>
    </row>
    <row r="63" spans="2:28" ht="24.95" customHeight="1" x14ac:dyDescent="0.35">
      <c r="D63" s="296" t="s">
        <v>135</v>
      </c>
      <c r="E63" s="296"/>
      <c r="F63" s="296"/>
      <c r="G63" s="296"/>
      <c r="H63" s="38"/>
      <c r="J63" s="237" t="s">
        <v>136</v>
      </c>
      <c r="K63" s="253"/>
      <c r="L63" s="253"/>
      <c r="M63" s="253"/>
      <c r="N63" s="253"/>
      <c r="O63" s="253"/>
      <c r="P63" s="253"/>
      <c r="Q63" s="253"/>
      <c r="R63" s="253"/>
      <c r="S63" s="253"/>
      <c r="T63" s="41"/>
      <c r="U63" s="41"/>
      <c r="V63" s="41"/>
      <c r="W63" s="41"/>
      <c r="X63" s="41"/>
      <c r="Y63" s="41"/>
      <c r="Z63" s="41"/>
      <c r="AA63" s="1"/>
    </row>
    <row r="64" spans="2:28" ht="20.100000000000001" customHeight="1" x14ac:dyDescent="0.35">
      <c r="D64" s="19"/>
      <c r="E64" s="19"/>
      <c r="F64" s="19"/>
      <c r="G64" s="19"/>
      <c r="H64" s="38"/>
      <c r="J64" s="238"/>
      <c r="K64" s="65"/>
      <c r="L64" s="65"/>
      <c r="M64" s="65"/>
      <c r="N64" s="65"/>
      <c r="O64" s="65"/>
      <c r="P64" s="65"/>
      <c r="Q64" s="65"/>
      <c r="R64" s="65"/>
      <c r="S64" s="65"/>
      <c r="T64" s="41"/>
      <c r="U64" s="41"/>
      <c r="V64" s="41"/>
      <c r="W64" s="41"/>
      <c r="X64" s="41"/>
      <c r="Y64" s="41"/>
      <c r="Z64" s="41"/>
      <c r="AA64" s="1"/>
    </row>
    <row r="65" spans="4:27" ht="17.100000000000001" customHeight="1" thickBot="1" x14ac:dyDescent="0.25">
      <c r="D65" s="250" t="s">
        <v>137</v>
      </c>
      <c r="E65" s="251"/>
      <c r="F65" s="252"/>
      <c r="G65" s="59">
        <f>I60</f>
        <v>0</v>
      </c>
      <c r="H65" s="19"/>
      <c r="J65" s="189" t="s">
        <v>138</v>
      </c>
      <c r="K65" s="235" t="s">
        <v>139</v>
      </c>
      <c r="L65" s="235"/>
      <c r="M65" s="235"/>
      <c r="N65" s="235"/>
      <c r="O65" s="235"/>
      <c r="P65" s="235"/>
      <c r="Q65" s="235"/>
      <c r="R65" s="235"/>
      <c r="S65" s="235"/>
      <c r="T65" s="66"/>
      <c r="U65" s="66"/>
      <c r="V65" s="66"/>
      <c r="W65" s="66"/>
      <c r="X65" s="66"/>
      <c r="Y65" s="66"/>
      <c r="Z65" s="66"/>
      <c r="AA65" s="66"/>
    </row>
    <row r="66" spans="4:27" ht="18" customHeight="1" x14ac:dyDescent="0.2">
      <c r="D66" s="247" t="s">
        <v>140</v>
      </c>
      <c r="E66" s="248"/>
      <c r="F66" s="249"/>
      <c r="G66" s="58">
        <f>G65-G67</f>
        <v>0</v>
      </c>
      <c r="H66" s="20"/>
      <c r="I66" s="19"/>
      <c r="K66" s="235"/>
      <c r="L66" s="235"/>
      <c r="M66" s="235"/>
      <c r="N66" s="235"/>
      <c r="O66" s="235"/>
      <c r="P66" s="235"/>
      <c r="Q66" s="235"/>
      <c r="R66" s="235"/>
      <c r="S66" s="235"/>
      <c r="T66" s="66"/>
      <c r="U66" s="66"/>
      <c r="V66" s="66"/>
      <c r="W66" s="66"/>
      <c r="X66" s="66"/>
      <c r="Y66" s="66"/>
      <c r="Z66" s="66"/>
      <c r="AA66" s="66"/>
    </row>
    <row r="67" spans="4:27" ht="18.600000000000001" customHeight="1" x14ac:dyDescent="0.2">
      <c r="D67" s="224" t="s">
        <v>141</v>
      </c>
      <c r="E67" s="228"/>
      <c r="F67" s="92"/>
      <c r="G67" s="59">
        <f>K60</f>
        <v>0</v>
      </c>
      <c r="H67" s="20"/>
      <c r="I67" s="19"/>
      <c r="J67" s="61"/>
      <c r="K67" s="235"/>
      <c r="L67" s="235"/>
      <c r="M67" s="235"/>
      <c r="N67" s="235"/>
      <c r="O67" s="235"/>
      <c r="P67" s="235"/>
      <c r="Q67" s="235"/>
      <c r="R67" s="235"/>
      <c r="S67" s="235"/>
      <c r="T67" s="21"/>
      <c r="U67" s="21"/>
      <c r="V67" s="21"/>
      <c r="W67" s="21"/>
      <c r="X67" s="21"/>
      <c r="Y67" s="21"/>
    </row>
    <row r="68" spans="4:27" ht="18" customHeight="1" x14ac:dyDescent="0.2">
      <c r="D68" s="90" t="s">
        <v>142</v>
      </c>
      <c r="E68" s="227"/>
      <c r="F68" s="91"/>
      <c r="G68" s="104">
        <f>IF(AND(K60&lt;&gt;"",K60&gt; 0),N15,0)</f>
        <v>0</v>
      </c>
      <c r="H68" s="24"/>
      <c r="I68" s="25"/>
      <c r="J68" s="61"/>
      <c r="K68" s="235"/>
      <c r="L68" s="235"/>
      <c r="M68" s="235"/>
      <c r="N68" s="235"/>
      <c r="O68" s="235"/>
      <c r="P68" s="235"/>
      <c r="Q68" s="235"/>
      <c r="R68" s="235"/>
      <c r="S68" s="235"/>
      <c r="T68" s="25"/>
      <c r="U68" s="25"/>
      <c r="V68" s="25"/>
      <c r="W68" s="25"/>
      <c r="X68" s="25"/>
      <c r="Y68" s="25"/>
    </row>
    <row r="69" spans="4:27" ht="18.600000000000001" customHeight="1" x14ac:dyDescent="0.2">
      <c r="D69" s="255" t="s">
        <v>143</v>
      </c>
      <c r="E69" s="256"/>
      <c r="F69" s="257"/>
      <c r="G69" s="59">
        <f>IF(G68=0,0,SUM(L16:N46,L48:N59))</f>
        <v>0</v>
      </c>
      <c r="H69" s="26"/>
      <c r="I69" s="25"/>
      <c r="K69" s="235"/>
      <c r="L69" s="235"/>
      <c r="M69" s="235"/>
      <c r="N69" s="235"/>
      <c r="O69" s="235"/>
      <c r="P69" s="235"/>
      <c r="Q69" s="235"/>
      <c r="R69" s="235"/>
      <c r="S69" s="235"/>
      <c r="T69" s="25"/>
      <c r="U69" s="25"/>
      <c r="V69" s="25"/>
      <c r="W69" s="25"/>
      <c r="X69" s="25"/>
      <c r="Y69" s="25"/>
    </row>
    <row r="70" spans="4:27" ht="18.600000000000001" customHeight="1" x14ac:dyDescent="0.2">
      <c r="D70" s="247" t="s">
        <v>144</v>
      </c>
      <c r="E70" s="254"/>
      <c r="F70" s="249"/>
      <c r="G70" s="58">
        <f>G67-G69</f>
        <v>0</v>
      </c>
      <c r="H70" s="26"/>
      <c r="I70" s="25"/>
      <c r="J70" s="61"/>
      <c r="K70" s="235"/>
      <c r="L70" s="235"/>
      <c r="M70" s="235"/>
      <c r="N70" s="235"/>
      <c r="O70" s="235"/>
      <c r="P70" s="235"/>
      <c r="Q70" s="235"/>
      <c r="R70" s="235"/>
      <c r="S70" s="235"/>
      <c r="T70" s="25"/>
      <c r="U70" s="25"/>
      <c r="V70" s="25"/>
      <c r="W70" s="25"/>
      <c r="X70" s="25"/>
      <c r="Y70" s="25"/>
    </row>
    <row r="71" spans="4:27" ht="17.45" customHeight="1" x14ac:dyDescent="0.2">
      <c r="D71" s="292" t="s">
        <v>145</v>
      </c>
      <c r="E71" s="293"/>
      <c r="F71" s="294"/>
      <c r="G71" s="230">
        <f>IF(AND(K60&lt;&gt;"",K60&gt; 0), (G69/G67),0)</f>
        <v>0</v>
      </c>
      <c r="H71" s="26"/>
      <c r="I71" s="25"/>
      <c r="J71" s="61"/>
      <c r="K71" s="235"/>
      <c r="L71" s="235"/>
      <c r="M71" s="235"/>
      <c r="N71" s="235"/>
      <c r="O71" s="235"/>
      <c r="P71" s="235"/>
      <c r="Q71" s="235"/>
      <c r="R71" s="235"/>
      <c r="S71" s="235"/>
      <c r="T71" s="25"/>
      <c r="U71" s="25"/>
      <c r="V71" s="25"/>
      <c r="W71" s="25"/>
      <c r="X71" s="25"/>
      <c r="Y71" s="25"/>
    </row>
    <row r="72" spans="4:27" ht="15.95" customHeight="1" x14ac:dyDescent="0.2">
      <c r="D72" s="247" t="s">
        <v>146</v>
      </c>
      <c r="E72" s="254"/>
      <c r="F72" s="249"/>
      <c r="G72" s="58">
        <f>IF(AND(K60&lt;&gt;"",K60&gt; 0),G65-G70,0)</f>
        <v>0</v>
      </c>
      <c r="H72" s="26"/>
      <c r="I72" s="25"/>
      <c r="J72" s="61"/>
      <c r="K72" s="236" t="s">
        <v>147</v>
      </c>
      <c r="L72" s="236"/>
      <c r="M72" s="236"/>
      <c r="N72" s="236"/>
      <c r="O72" s="236"/>
      <c r="P72" s="236"/>
      <c r="Q72" s="236"/>
      <c r="R72" s="236"/>
      <c r="S72" s="236"/>
      <c r="T72" s="25"/>
      <c r="U72" s="25"/>
      <c r="V72" s="25"/>
      <c r="W72" s="25"/>
      <c r="X72" s="25"/>
      <c r="Y72" s="25"/>
    </row>
    <row r="73" spans="4:27" ht="18.600000000000001" customHeight="1" x14ac:dyDescent="0.2">
      <c r="D73" s="255" t="s">
        <v>148</v>
      </c>
      <c r="E73" s="256"/>
      <c r="F73" s="257"/>
      <c r="G73" s="230">
        <f>IF(AND(G65 &lt;&gt; "", G65 &gt; 0), ((G65 - G67) + G69)/G65,0)</f>
        <v>0</v>
      </c>
      <c r="I73" s="25"/>
      <c r="J73" s="61"/>
      <c r="K73" s="236"/>
      <c r="L73" s="236"/>
      <c r="M73" s="236"/>
      <c r="N73" s="236"/>
      <c r="O73" s="236"/>
      <c r="P73" s="236"/>
      <c r="Q73" s="236"/>
      <c r="R73" s="236"/>
      <c r="S73" s="236"/>
    </row>
    <row r="74" spans="4:27" ht="25.5" customHeight="1" x14ac:dyDescent="0.2">
      <c r="D74" s="282" t="str">
        <f>CONCATENATE("Estimated MER points to be earned: ",TEXT(IF(AND(G69 &lt;&gt;"", G69 &gt; 0),G69*100, 0),"#,##0"))</f>
        <v>Estimated MER points to be earned: 0</v>
      </c>
      <c r="E74" s="283"/>
      <c r="F74" s="283"/>
      <c r="G74" s="284"/>
      <c r="J74" s="61"/>
      <c r="K74" s="186" t="s">
        <v>149</v>
      </c>
      <c r="T74" s="175"/>
      <c r="U74" s="175"/>
      <c r="V74" s="175"/>
      <c r="W74" s="175"/>
      <c r="X74" s="175"/>
      <c r="Y74" s="175"/>
      <c r="Z74" s="175"/>
      <c r="AA74" s="175"/>
    </row>
    <row r="75" spans="4:27" ht="12.95" customHeight="1" x14ac:dyDescent="0.2">
      <c r="D75" s="2"/>
      <c r="E75" s="2"/>
      <c r="F75" s="2"/>
      <c r="G75" s="2"/>
    </row>
    <row r="76" spans="4:27" ht="23.1" customHeight="1" x14ac:dyDescent="0.2"/>
    <row r="77" spans="4:27" ht="14.45" customHeight="1" x14ac:dyDescent="0.2"/>
    <row r="78" spans="4:27" ht="14.45" customHeight="1" x14ac:dyDescent="0.2"/>
    <row r="79" spans="4:27" ht="12.95" customHeight="1" x14ac:dyDescent="0.2"/>
    <row r="80" spans="4:27" ht="12.95" customHeight="1" x14ac:dyDescent="0.2"/>
  </sheetData>
  <sheetProtection algorithmName="SHA-512" hashValue="PIxlfSXYk91tVPqJQ81lCf5jsFm7Wg2r3czZWudYKwHEVJjUINqF613NIwWCJi092PwsUIf9fmv1Ev9I9ct+Rw==" saltValue="9EumOHXTv2xDhqqHwP6NAw==" spinCount="100000" sheet="1" objects="1" scenarios="1"/>
  <mergeCells count="57">
    <mergeCell ref="E1:K1"/>
    <mergeCell ref="D63:G63"/>
    <mergeCell ref="D3:F3"/>
    <mergeCell ref="O2:S2"/>
    <mergeCell ref="Q13:Q15"/>
    <mergeCell ref="R13:R15"/>
    <mergeCell ref="D39:D41"/>
    <mergeCell ref="P13:P15"/>
    <mergeCell ref="E5:F5"/>
    <mergeCell ref="N13:N14"/>
    <mergeCell ref="D4:F4"/>
    <mergeCell ref="D2:H2"/>
    <mergeCell ref="J4:M8"/>
    <mergeCell ref="D10:F10"/>
    <mergeCell ref="J13:J15"/>
    <mergeCell ref="E6:F6"/>
    <mergeCell ref="D74:G74"/>
    <mergeCell ref="U13:U15"/>
    <mergeCell ref="L13:L15"/>
    <mergeCell ref="M13:M15"/>
    <mergeCell ref="D13:D15"/>
    <mergeCell ref="E13:E15"/>
    <mergeCell ref="F13:F15"/>
    <mergeCell ref="G13:G15"/>
    <mergeCell ref="I13:I15"/>
    <mergeCell ref="S13:S15"/>
    <mergeCell ref="T13:T15"/>
    <mergeCell ref="O13:O15"/>
    <mergeCell ref="D71:F71"/>
    <mergeCell ref="D69:F69"/>
    <mergeCell ref="H13:H15"/>
    <mergeCell ref="D70:F70"/>
    <mergeCell ref="AA13:AA15"/>
    <mergeCell ref="V13:V15"/>
    <mergeCell ref="W13:W15"/>
    <mergeCell ref="X13:X15"/>
    <mergeCell ref="Y13:Y15"/>
    <mergeCell ref="E7:F7"/>
    <mergeCell ref="E8:F8"/>
    <mergeCell ref="E9:F9"/>
    <mergeCell ref="Z13:Z15"/>
    <mergeCell ref="L10:N11"/>
    <mergeCell ref="L12:N12"/>
    <mergeCell ref="Q11:S12"/>
    <mergeCell ref="K65:S71"/>
    <mergeCell ref="K72:S73"/>
    <mergeCell ref="J63:J64"/>
    <mergeCell ref="B13:B15"/>
    <mergeCell ref="C13:C15"/>
    <mergeCell ref="D32:D34"/>
    <mergeCell ref="D47:S47"/>
    <mergeCell ref="D66:F66"/>
    <mergeCell ref="D65:F65"/>
    <mergeCell ref="K62:S63"/>
    <mergeCell ref="D72:F72"/>
    <mergeCell ref="D73:F73"/>
    <mergeCell ref="K13:K15"/>
  </mergeCells>
  <phoneticPr fontId="23" type="noConversion"/>
  <conditionalFormatting sqref="D42:D46 D35:D38 D16:D31 D48:D59">
    <cfRule type="iconSet" priority="34">
      <iconSet iconSet="3Flags" showValue="0">
        <cfvo type="num" val="-1"/>
        <cfvo type="num" val="0"/>
        <cfvo type="num" val="1"/>
      </iconSet>
    </cfRule>
  </conditionalFormatting>
  <conditionalFormatting sqref="L12:N12">
    <cfRule type="expression" dxfId="2" priority="3">
      <formula>$L$12="Subtotal does not qualify for rebates"</formula>
    </cfRule>
  </conditionalFormatting>
  <conditionalFormatting sqref="L16:N46 L48:N59">
    <cfRule type="cellIs" dxfId="1" priority="1" stopIfTrue="1" operator="equal">
      <formula>0</formula>
    </cfRule>
    <cfRule type="expression" dxfId="0" priority="2" stopIfTrue="1">
      <formula>AND(L16&gt;0,$AA$60&lt;5000)</formula>
    </cfRule>
    <cfRule type="expression" priority="4">
      <formula>AND(L16&gt;0,$AA$60&gt;=5000)</formula>
    </cfRule>
  </conditionalFormatting>
  <dataValidations count="34">
    <dataValidation type="whole" allowBlank="1" showInputMessage="1" showErrorMessage="1" errorTitle="# Units Error" error="Must be 26 or greater." sqref="G41" xr:uid="{A906F217-68CA-41AC-BD4F-0A698EE773F5}">
      <formula1>26</formula1>
      <formula2>9999999</formula2>
    </dataValidation>
    <dataValidation type="whole" allowBlank="1" showInputMessage="1" showErrorMessage="1" errorTitle="# Units Error" error="Must be between 14 and 25" sqref="G40" xr:uid="{547D911F-CF01-4A98-BB5D-4E890714FF4E}">
      <formula1>14</formula1>
      <formula2>25</formula2>
    </dataValidation>
    <dataValidation type="whole" allowBlank="1" showInputMessage="1" showErrorMessage="1" errorTitle="# Units Error" error="Must be between 1 and 13" sqref="G39" xr:uid="{81604C64-0BF1-40F3-A0C1-8728973607A4}">
      <formula1>1</formula1>
      <formula2>13</formula2>
    </dataValidation>
    <dataValidation type="decimal" errorStyle="warning" allowBlank="1" showInputMessage="1" showErrorMessage="1" errorTitle="Use Rate Error" error="Must be between 1.0000 and 2.0000" sqref="Q29" xr:uid="{88A8AF1F-5E86-4905-9848-96435BFEF830}">
      <formula1>1</formula1>
      <formula2>2</formula2>
    </dataValidation>
    <dataValidation type="decimal" errorStyle="warning" allowBlank="1" showInputMessage="1" showErrorMessage="1" errorTitle="Use Rate Error" error="Must be between 2.0000 and 7.0000" sqref="Q30 Q26:Q27" xr:uid="{9EDC1996-F2C3-496F-A1BE-7C6D218C0339}">
      <formula1>2</formula1>
      <formula2>7</formula2>
    </dataValidation>
    <dataValidation type="whole" allowBlank="1" showInputMessage="1" showErrorMessage="1" errorTitle="# Units Error" error="Must be 6 or greater." sqref="G25 G27" xr:uid="{8453CA78-5E43-4C46-A973-8F260F0C8BE8}">
      <formula1>6</formula1>
      <formula2>9999999</formula2>
    </dataValidation>
    <dataValidation type="whole" allowBlank="1" showInputMessage="1" showErrorMessage="1" errorTitle="# Units Error" error="Must be between 1 and 5" sqref="G24 G26" xr:uid="{77E775A9-8736-4E93-B8C6-B98F1FDD1B92}">
      <formula1>1</formula1>
      <formula2>5</formula2>
    </dataValidation>
    <dataValidation type="whole" allowBlank="1" showInputMessage="1" showErrorMessage="1" errorTitle="# Units Error" error="Must be greater than 1." sqref="G45:G46 G42 G29:G31" xr:uid="{7601B1B7-BC94-472E-817E-8962C2D97F4C}">
      <formula1>1</formula1>
      <formula2>9999999</formula2>
    </dataValidation>
    <dataValidation type="whole" allowBlank="1" showInputMessage="1" showErrorMessage="1" errorTitle="# Units Error" error="Must be greater than 1." sqref="G19" xr:uid="{7C56508A-A6E7-4B52-A63C-588EB7170EE8}">
      <formula1>1</formula1>
      <formula2>999999</formula2>
    </dataValidation>
    <dataValidation type="whole" allowBlank="1" showInputMessage="1" showErrorMessage="1" error="Must be between 1 and 15" sqref="G16" xr:uid="{19008832-9F9C-4038-90F4-8D117B5B0EDB}">
      <formula1>1</formula1>
      <formula2>15</formula2>
    </dataValidation>
    <dataValidation type="whole" allowBlank="1" showInputMessage="1" showErrorMessage="1" errorTitle="# Units Error" error="Must be between 1 and 8" sqref="G35" xr:uid="{0745EA69-E327-46B4-9DE7-8BEC969DD05E}">
      <formula1>1</formula1>
      <formula2>8</formula2>
    </dataValidation>
    <dataValidation type="whole" allowBlank="1" showInputMessage="1" showErrorMessage="1" errorTitle="# Units Error" error="Must be between 1 to 5" sqref="G43" xr:uid="{5D244BD2-A92F-41E3-BD80-9B914B53C32A}">
      <formula1>1</formula1>
      <formula2>5</formula2>
    </dataValidation>
    <dataValidation type="decimal" errorStyle="warning" allowBlank="1" showInputMessage="1" showErrorMessage="1" errorTitle="Use Rate Error" error="Must be between 1.3000 and 4.0000" sqref="Q18" xr:uid="{E1398547-3E83-4AE1-93BE-B4C8B7D7572B}">
      <formula1>1.3</formula1>
      <formula2>4</formula2>
    </dataValidation>
    <dataValidation type="decimal" errorStyle="warning" allowBlank="1" showInputMessage="1" showErrorMessage="1" errorTitle="Use Rate Error" error="Must be between 4.0000 and 8.0000" sqref="Q35:Q36" xr:uid="{6CBB1D84-329F-4D1A-B159-B273A8F96A67}">
      <formula1>4</formula1>
      <formula2>8</formula2>
    </dataValidation>
    <dataValidation type="decimal" errorStyle="warning" allowBlank="1" showInputMessage="1" showErrorMessage="1" errorTitle="Use Rate Error" error="Must be between 2.0000 and 6.0000" sqref="Q37:Q38" xr:uid="{5E87DF58-C1D7-4A15-B29C-DDB5CA4E3106}">
      <formula1>2</formula1>
      <formula2>6</formula2>
    </dataValidation>
    <dataValidation type="decimal" errorStyle="warning" allowBlank="1" showInputMessage="1" showErrorMessage="1" errorTitle="Use Rate Error" error="Must be between 0.3670 and 0.7350" sqref="Q45" xr:uid="{4885A213-11A9-4DC3-9265-5DC03203F954}">
      <formula1>0.367</formula1>
      <formula2>0.735</formula2>
    </dataValidation>
    <dataValidation type="decimal" errorStyle="warning" allowBlank="1" showInputMessage="1" showErrorMessage="1" errorTitle="Use Rate Error" error="Must be between 2.0000 and 8.0000" sqref="Q48" xr:uid="{4B336A79-5909-4FEB-A6AA-0C417ADF42F6}">
      <formula1>2</formula1>
      <formula2>8</formula2>
    </dataValidation>
    <dataValidation type="decimal" errorStyle="warning" allowBlank="1" showInputMessage="1" showErrorMessage="1" errorTitle="Use Rate Error" error="Must be between 0.6000 and 1.5000" sqref="Q50" xr:uid="{B3C57801-C0A9-42EA-BAB8-944E7692425D}">
      <formula1>0.6</formula1>
      <formula2>1.5</formula2>
    </dataValidation>
    <dataValidation type="decimal" errorStyle="warning" allowBlank="1" showInputMessage="1" showErrorMessage="1" errorTitle="Use Rate Error" error="Must be between 0.1000 and 0.2500" sqref="Q52" xr:uid="{B4965EAD-B850-478C-A16B-64088E508A24}">
      <formula1>0.1</formula1>
      <formula2>0.25</formula2>
    </dataValidation>
    <dataValidation type="decimal" errorStyle="warning" allowBlank="1" showInputMessage="1" showErrorMessage="1" errorTitle="Use Rate Error" error="Must be between 4.6000 and 6.9000" sqref="Q53" xr:uid="{4D3D3506-5F1F-4D0B-BF84-DEAEB50378B9}">
      <formula1>4.6</formula1>
      <formula2>6.9</formula2>
    </dataValidation>
    <dataValidation type="decimal" errorStyle="warning" allowBlank="1" showInputMessage="1" showErrorMessage="1" errorTitle="Use Rate Error" error="Must be between 0.0320 and 0.0900" sqref="Q54" xr:uid="{96DE2EEC-03F6-4AEC-B347-8A6DBC1DD552}">
      <formula1>0.032</formula1>
      <formula2>0.09</formula2>
    </dataValidation>
    <dataValidation type="decimal" errorStyle="warning" allowBlank="1" showInputMessage="1" showErrorMessage="1" errorTitle="Use Rate Error" error="Must be between 1.0000 and 4.5000" sqref="Q55" xr:uid="{B405AD9F-BD3A-4A4A-AB39-7CD033112D5D}">
      <formula1>1</formula1>
      <formula2>4.5</formula2>
    </dataValidation>
    <dataValidation type="decimal" errorStyle="warning" allowBlank="1" showInputMessage="1" showErrorMessage="1" errorTitle="Use Rate Error" error="Must be between 5.0000 and 5.0000" sqref="Q56" xr:uid="{3DD394CB-51B1-49D0-B77A-EBB43C8A6827}">
      <formula1>5</formula1>
      <formula2>5</formula2>
    </dataValidation>
    <dataValidation type="decimal" errorStyle="warning" allowBlank="1" showInputMessage="1" showErrorMessage="1" errorTitle="Use Rate Error" error="Must be between 0.1760 and 0.3520" sqref="Q59" xr:uid="{44079C78-5DDD-4DE5-A4A4-7AB48EE19478}">
      <formula1>0.176</formula1>
      <formula2>0.352</formula2>
    </dataValidation>
    <dataValidation type="decimal" errorStyle="warning" allowBlank="1" showInputMessage="1" showErrorMessage="1" errorTitle="Use Rate Error" error="Must be between 2.0000 and 2.0000" sqref="Q59" xr:uid="{B8A6B0F7-E60C-436C-B542-F17F743F9421}">
      <formula1>2</formula1>
      <formula2>2</formula2>
    </dataValidation>
    <dataValidation type="whole" allowBlank="1" showInputMessage="1" showErrorMessage="1" errorTitle="# Units Error" error="Must be between 1 and 11" sqref="G32" xr:uid="{ADFBB3F1-9670-42E4-BF28-CAB9958F2DE4}">
      <formula1>1</formula1>
      <formula2>11</formula2>
    </dataValidation>
    <dataValidation type="whole" allowBlank="1" showInputMessage="1" showErrorMessage="1" errorTitle="# Units Error" error="Must be between 12 and 39" sqref="G33" xr:uid="{EE4F1F63-86C6-4B14-A54D-214F253374F5}">
      <formula1>12</formula1>
      <formula2>39</formula2>
    </dataValidation>
    <dataValidation type="whole" operator="greaterThan" allowBlank="1" showInputMessage="1" showErrorMessage="1" errorTitle="# Units Error" error="Must be over 40" sqref="G34" xr:uid="{9A430DC1-F385-4627-A163-40575430FE48}">
      <formula1>39</formula1>
    </dataValidation>
    <dataValidation type="whole" operator="greaterThan" allowBlank="1" showInputMessage="1" showErrorMessage="1" error="Must be a minimum of 9 units" sqref="G36" xr:uid="{CEC1D030-25CE-40F4-B140-E69FCD070339}">
      <formula1>8</formula1>
    </dataValidation>
    <dataValidation type="whole" allowBlank="1" showInputMessage="1" showErrorMessage="1" errorTitle="# Units Error" error="Must be between 1 and 23" sqref="G37" xr:uid="{C1C0278C-DFEE-445C-BBEC-21818DE72525}">
      <formula1>1</formula1>
      <formula2>23</formula2>
    </dataValidation>
    <dataValidation type="whole" operator="greaterThan" allowBlank="1" showInputMessage="1" showErrorMessage="1" error="Must be a minimum of 24" sqref="G38" xr:uid="{8F477894-29C1-4E74-BD5A-9BA8D9B0FDFF}">
      <formula1>23</formula1>
    </dataValidation>
    <dataValidation type="whole" operator="greaterThan" allowBlank="1" showInputMessage="1" showErrorMessage="1" errorTitle="# Units Error" error="Must be a minimum of 6" sqref="G44" xr:uid="{0C08514A-47EA-44FE-9D4E-4AB3D005591C}">
      <formula1>5</formula1>
    </dataValidation>
    <dataValidation allowBlank="1" showInputMessage="1" showErrorMessage="1" errorTitle="# Units Error" error="Must be 6 or greater." sqref="G28" xr:uid="{63A43E40-5521-4839-8EF7-474974133D75}"/>
    <dataValidation type="whole" allowBlank="1" showInputMessage="1" showErrorMessage="1" error="Must be 16 or more" sqref="G17" xr:uid="{62D5F968-09A8-4F71-806F-CCAEDA8CF0EC}">
      <formula1>16</formula1>
      <formula2>9999999</formula2>
    </dataValidation>
  </dataValidations>
  <pageMargins left="0.75" right="0.75" top="0.75" bottom="0.5" header="0.5" footer="0.75"/>
  <pageSetup scale="60" orientation="landscape" horizontalDpi="1200" verticalDpi="1200" r:id="rId1"/>
  <customProperties>
    <customPr name="IbpWorksheetKeyString_GUID"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F392CE77-6476-4862-AA42-F79EC383AAD3}">
          <x14:formula1>
            <xm:f>Dropdown!$A$1:$A$2</xm:f>
          </x14:formula1>
          <xm:sqref>J65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76625-3F39-4416-A4F0-7E89DF0CEA10}">
  <sheetPr codeName="Sheet2"/>
  <dimension ref="A1:FD123"/>
  <sheetViews>
    <sheetView topLeftCell="A23" zoomScaleNormal="100" workbookViewId="0">
      <selection activeCell="G77" sqref="G77"/>
    </sheetView>
  </sheetViews>
  <sheetFormatPr defaultRowHeight="15" x14ac:dyDescent="0.25"/>
  <cols>
    <col min="1" max="1" width="29.140625" customWidth="1"/>
    <col min="2" max="2" width="13.140625" customWidth="1"/>
    <col min="3" max="3" width="7.140625" style="29" customWidth="1"/>
    <col min="4" max="4" width="10.42578125" customWidth="1"/>
    <col min="5" max="6" width="14.140625" customWidth="1"/>
    <col min="7" max="160" width="8.7109375" style="32"/>
  </cols>
  <sheetData>
    <row r="1" spans="1:6" x14ac:dyDescent="0.25">
      <c r="A1" s="34"/>
      <c r="B1" s="34"/>
      <c r="C1" s="34"/>
      <c r="D1" s="34"/>
      <c r="E1" s="35"/>
      <c r="F1" s="32"/>
    </row>
    <row r="2" spans="1:6" ht="21" x14ac:dyDescent="0.25">
      <c r="A2" s="317" t="str">
        <f>'2023 FALL-CALCULATOR'!D4</f>
        <v>Name Order Here</v>
      </c>
      <c r="B2" s="318"/>
      <c r="C2" s="318"/>
      <c r="D2" s="319"/>
      <c r="E2" s="35"/>
      <c r="F2" s="32"/>
    </row>
    <row r="3" spans="1:6" x14ac:dyDescent="0.25">
      <c r="A3" s="78" t="s">
        <v>12</v>
      </c>
      <c r="B3" s="329" t="str">
        <f>IF('2023 FALL-CALCULATOR'!E5="","",'2023 FALL-CALCULATOR'!E5)</f>
        <v/>
      </c>
      <c r="C3" s="330"/>
      <c r="D3" s="331"/>
      <c r="E3" s="35"/>
      <c r="F3" s="32"/>
    </row>
    <row r="4" spans="1:6" x14ac:dyDescent="0.25">
      <c r="A4" s="79" t="s">
        <v>150</v>
      </c>
      <c r="B4" s="329" t="str">
        <f>IF('2023 FALL-CALCULATOR'!E6="","",'2023 FALL-CALCULATOR'!E6)</f>
        <v/>
      </c>
      <c r="C4" s="330"/>
      <c r="D4" s="331"/>
      <c r="E4" s="35"/>
      <c r="F4" s="32"/>
    </row>
    <row r="5" spans="1:6" x14ac:dyDescent="0.25">
      <c r="A5" s="80" t="s">
        <v>15</v>
      </c>
      <c r="B5" s="329" t="str">
        <f>IF('2023 FALL-CALCULATOR'!E7="","",'2023 FALL-CALCULATOR'!E7)</f>
        <v/>
      </c>
      <c r="C5" s="330"/>
      <c r="D5" s="331"/>
      <c r="E5" s="35"/>
      <c r="F5" s="32"/>
    </row>
    <row r="6" spans="1:6" x14ac:dyDescent="0.25">
      <c r="A6" s="81" t="s">
        <v>151</v>
      </c>
      <c r="B6" s="329" t="str">
        <f>IF('2023 FALL-CALCULATOR'!E8="","",'2023 FALL-CALCULATOR'!E8)</f>
        <v/>
      </c>
      <c r="C6" s="330"/>
      <c r="D6" s="331"/>
      <c r="E6" s="35"/>
      <c r="F6" s="32"/>
    </row>
    <row r="7" spans="1:6" x14ac:dyDescent="0.25">
      <c r="A7" s="81" t="s">
        <v>17</v>
      </c>
      <c r="B7" s="332" t="str">
        <f>IF('2023 FALL-CALCULATOR'!E9="","",'2023 FALL-CALCULATOR'!E9)</f>
        <v/>
      </c>
      <c r="C7" s="333"/>
      <c r="D7" s="334"/>
      <c r="E7" s="35"/>
      <c r="F7" s="32"/>
    </row>
    <row r="8" spans="1:6" ht="26.45" customHeight="1" x14ac:dyDescent="0.25">
      <c r="A8" s="32" t="s">
        <v>152</v>
      </c>
      <c r="B8" s="32"/>
      <c r="C8" s="33"/>
      <c r="D8" s="32"/>
      <c r="E8" s="32"/>
      <c r="F8" s="32"/>
    </row>
    <row r="9" spans="1:6" x14ac:dyDescent="0.25">
      <c r="A9" s="94" t="s">
        <v>153</v>
      </c>
      <c r="B9" s="95"/>
      <c r="C9" s="96"/>
      <c r="D9" s="95"/>
      <c r="E9" s="95"/>
      <c r="F9" s="95"/>
    </row>
    <row r="10" spans="1:6" x14ac:dyDescent="0.25">
      <c r="A10" s="335" t="s">
        <v>154</v>
      </c>
      <c r="B10" s="335" t="s">
        <v>28</v>
      </c>
      <c r="C10" s="337" t="s">
        <v>29</v>
      </c>
      <c r="D10" s="327" t="s">
        <v>155</v>
      </c>
      <c r="E10" s="327" t="s">
        <v>156</v>
      </c>
      <c r="F10" s="327" t="s">
        <v>157</v>
      </c>
    </row>
    <row r="11" spans="1:6" x14ac:dyDescent="0.25">
      <c r="A11" s="336"/>
      <c r="B11" s="336"/>
      <c r="C11" s="338"/>
      <c r="D11" s="328"/>
      <c r="E11" s="328"/>
      <c r="F11" s="328"/>
    </row>
    <row r="12" spans="1:6" x14ac:dyDescent="0.25">
      <c r="A12" s="336"/>
      <c r="B12" s="336"/>
      <c r="C12" s="338"/>
      <c r="D12" s="328"/>
      <c r="E12" s="328"/>
      <c r="F12" s="328"/>
    </row>
    <row r="13" spans="1:6" x14ac:dyDescent="0.25">
      <c r="A13" s="31" t="s">
        <v>51</v>
      </c>
      <c r="B13" s="31" t="s">
        <v>158</v>
      </c>
      <c r="C13" s="93">
        <f>'2023 FALL-CALCULATOR'!G16</f>
        <v>0</v>
      </c>
      <c r="D13" s="52">
        <v>419.7</v>
      </c>
      <c r="E13" s="7" t="str">
        <f>'2023 FALL-CALCULATOR'!K16</f>
        <v/>
      </c>
      <c r="F13" s="7" t="str">
        <f>'2023 FALL-CALCULATOR'!O16</f>
        <v/>
      </c>
    </row>
    <row r="14" spans="1:6" x14ac:dyDescent="0.25">
      <c r="A14" s="31" t="s">
        <v>53</v>
      </c>
      <c r="B14" s="31" t="s">
        <v>158</v>
      </c>
      <c r="C14" s="93">
        <f>'2023 FALL-CALCULATOR'!G17</f>
        <v>0</v>
      </c>
      <c r="D14" s="52">
        <v>398.7</v>
      </c>
      <c r="E14" s="7" t="str">
        <f>'2023 FALL-CALCULATOR'!K17</f>
        <v/>
      </c>
      <c r="F14" s="7" t="str">
        <f>'2023 FALL-CALCULATOR'!O17</f>
        <v/>
      </c>
    </row>
    <row r="15" spans="1:6" x14ac:dyDescent="0.25">
      <c r="A15" s="31" t="s">
        <v>55</v>
      </c>
      <c r="B15" s="31" t="s">
        <v>56</v>
      </c>
      <c r="C15" s="93">
        <f>'2023 FALL-CALCULATOR'!G18</f>
        <v>0</v>
      </c>
      <c r="D15" s="52">
        <v>1228.75</v>
      </c>
      <c r="E15" s="7" t="str">
        <f>'2023 FALL-CALCULATOR'!K18</f>
        <v/>
      </c>
      <c r="F15" s="7" t="str">
        <f>'2023 FALL-CALCULATOR'!O18</f>
        <v/>
      </c>
    </row>
    <row r="16" spans="1:6" x14ac:dyDescent="0.25">
      <c r="A16" s="31" t="s">
        <v>58</v>
      </c>
      <c r="B16" s="31" t="s">
        <v>59</v>
      </c>
      <c r="C16" s="93">
        <f>'2023 FALL-CALCULATOR'!G19</f>
        <v>0</v>
      </c>
      <c r="D16" s="52">
        <v>125.8</v>
      </c>
      <c r="E16" s="7" t="str">
        <f>'2023 FALL-CALCULATOR'!K19</f>
        <v/>
      </c>
      <c r="F16" s="7" t="str">
        <f>'2023 FALL-CALCULATOR'!O19</f>
        <v/>
      </c>
    </row>
    <row r="17" spans="1:6" x14ac:dyDescent="0.25">
      <c r="A17" s="31" t="s">
        <v>61</v>
      </c>
      <c r="B17" s="31" t="s">
        <v>59</v>
      </c>
      <c r="C17" s="93">
        <f>'2023 FALL-CALCULATOR'!G20</f>
        <v>0</v>
      </c>
      <c r="D17" s="52">
        <v>166.4</v>
      </c>
      <c r="E17" s="7" t="str">
        <f>'2023 FALL-CALCULATOR'!K20</f>
        <v/>
      </c>
      <c r="F17" s="7" t="str">
        <f>'2023 FALL-CALCULATOR'!O20</f>
        <v/>
      </c>
    </row>
    <row r="18" spans="1:6" x14ac:dyDescent="0.25">
      <c r="A18" s="31" t="s">
        <v>63</v>
      </c>
      <c r="B18" s="31" t="s">
        <v>159</v>
      </c>
      <c r="C18" s="93">
        <f>'2023 FALL-CALCULATOR'!G21</f>
        <v>0</v>
      </c>
      <c r="D18" s="52">
        <v>725</v>
      </c>
      <c r="E18" s="7" t="str">
        <f>'2023 FALL-CALCULATOR'!K21</f>
        <v/>
      </c>
      <c r="F18" s="7" t="str">
        <f>'2023 FALL-CALCULATOR'!O21</f>
        <v/>
      </c>
    </row>
    <row r="19" spans="1:6" x14ac:dyDescent="0.25">
      <c r="A19" s="31" t="s">
        <v>66</v>
      </c>
      <c r="B19" s="31" t="s">
        <v>56</v>
      </c>
      <c r="C19" s="93">
        <f>'2023 FALL-CALCULATOR'!G22</f>
        <v>0</v>
      </c>
      <c r="D19" s="52">
        <v>358.25</v>
      </c>
      <c r="E19" s="7" t="str">
        <f>'2023 FALL-CALCULATOR'!K22</f>
        <v/>
      </c>
      <c r="F19" s="7" t="str">
        <f>'2023 FALL-CALCULATOR'!O22</f>
        <v/>
      </c>
    </row>
    <row r="20" spans="1:6" x14ac:dyDescent="0.25">
      <c r="A20" s="31" t="s">
        <v>68</v>
      </c>
      <c r="B20" s="31" t="s">
        <v>56</v>
      </c>
      <c r="C20" s="93">
        <f>'2023 FALL-CALCULATOR'!G23</f>
        <v>0</v>
      </c>
      <c r="D20" s="52">
        <v>189.7</v>
      </c>
      <c r="E20" s="7" t="str">
        <f>'2023 FALL-CALCULATOR'!K23</f>
        <v/>
      </c>
      <c r="F20" s="7" t="str">
        <f>'2023 FALL-CALCULATOR'!O23</f>
        <v/>
      </c>
    </row>
    <row r="21" spans="1:6" x14ac:dyDescent="0.25">
      <c r="A21" s="31" t="s">
        <v>69</v>
      </c>
      <c r="B21" s="31" t="s">
        <v>160</v>
      </c>
      <c r="C21" s="93">
        <f>'2023 FALL-CALCULATOR'!G24</f>
        <v>0</v>
      </c>
      <c r="D21" s="52">
        <v>1925</v>
      </c>
      <c r="E21" s="7" t="str">
        <f>'2023 FALL-CALCULATOR'!K24</f>
        <v/>
      </c>
      <c r="F21" s="7" t="str">
        <f>'2023 FALL-CALCULATOR'!O24</f>
        <v/>
      </c>
    </row>
    <row r="22" spans="1:6" x14ac:dyDescent="0.25">
      <c r="A22" s="31" t="s">
        <v>71</v>
      </c>
      <c r="B22" s="31" t="s">
        <v>160</v>
      </c>
      <c r="C22" s="93">
        <f>'2023 FALL-CALCULATOR'!G25</f>
        <v>0</v>
      </c>
      <c r="D22" s="52">
        <v>1732.5</v>
      </c>
      <c r="E22" s="7" t="str">
        <f>'2023 FALL-CALCULATOR'!K25</f>
        <v/>
      </c>
      <c r="F22" s="7" t="str">
        <f>'2023 FALL-CALCULATOR'!O25</f>
        <v/>
      </c>
    </row>
    <row r="23" spans="1:6" x14ac:dyDescent="0.25">
      <c r="A23" s="31" t="s">
        <v>72</v>
      </c>
      <c r="B23" s="31" t="s">
        <v>56</v>
      </c>
      <c r="C23" s="93">
        <f>'2023 FALL-CALCULATOR'!G26</f>
        <v>0</v>
      </c>
      <c r="D23" s="52">
        <v>561</v>
      </c>
      <c r="E23" s="7" t="str">
        <f>'2023 FALL-CALCULATOR'!K26</f>
        <v/>
      </c>
      <c r="F23" s="7" t="str">
        <f>'2023 FALL-CALCULATOR'!O26</f>
        <v/>
      </c>
    </row>
    <row r="24" spans="1:6" x14ac:dyDescent="0.25">
      <c r="A24" s="31" t="s">
        <v>74</v>
      </c>
      <c r="B24" s="31" t="s">
        <v>56</v>
      </c>
      <c r="C24" s="93">
        <f>'2023 FALL-CALCULATOR'!G27</f>
        <v>0</v>
      </c>
      <c r="D24" s="52">
        <v>493.5</v>
      </c>
      <c r="E24" s="7" t="str">
        <f>'2023 FALL-CALCULATOR'!K27</f>
        <v/>
      </c>
      <c r="F24" s="7" t="str">
        <f>'2023 FALL-CALCULATOR'!O27</f>
        <v/>
      </c>
    </row>
    <row r="25" spans="1:6" x14ac:dyDescent="0.25">
      <c r="A25" s="31" t="s">
        <v>75</v>
      </c>
      <c r="B25" s="31" t="s">
        <v>76</v>
      </c>
      <c r="C25" s="93">
        <f>'2023 FALL-CALCULATOR'!G28</f>
        <v>0</v>
      </c>
      <c r="D25" s="52">
        <v>1900.1</v>
      </c>
      <c r="E25" s="7" t="str">
        <f>'2023 FALL-CALCULATOR'!K28</f>
        <v/>
      </c>
      <c r="F25" s="7" t="str">
        <f>'2023 FALL-CALCULATOR'!O28</f>
        <v/>
      </c>
    </row>
    <row r="26" spans="1:6" x14ac:dyDescent="0.25">
      <c r="A26" s="31" t="s">
        <v>78</v>
      </c>
      <c r="B26" s="31" t="s">
        <v>56</v>
      </c>
      <c r="C26" s="93">
        <f>'2023 FALL-CALCULATOR'!G29</f>
        <v>0</v>
      </c>
      <c r="D26" s="52">
        <v>487.2</v>
      </c>
      <c r="E26" s="7" t="str">
        <f>'2023 FALL-CALCULATOR'!K29</f>
        <v/>
      </c>
      <c r="F26" s="7" t="str">
        <f>'2023 FALL-CALCULATOR'!O29</f>
        <v/>
      </c>
    </row>
    <row r="27" spans="1:6" x14ac:dyDescent="0.25">
      <c r="A27" s="31" t="s">
        <v>80</v>
      </c>
      <c r="B27" s="31" t="s">
        <v>81</v>
      </c>
      <c r="C27" s="93">
        <f>'2023 FALL-CALCULATOR'!G30</f>
        <v>0</v>
      </c>
      <c r="D27" s="52">
        <v>890.8</v>
      </c>
      <c r="E27" s="7" t="str">
        <f>'2023 FALL-CALCULATOR'!K30</f>
        <v/>
      </c>
      <c r="F27" s="7" t="str">
        <f>'2023 FALL-CALCULATOR'!O30</f>
        <v/>
      </c>
    </row>
    <row r="28" spans="1:6" x14ac:dyDescent="0.25">
      <c r="A28" s="31" t="s">
        <v>82</v>
      </c>
      <c r="B28" s="31" t="s">
        <v>161</v>
      </c>
      <c r="C28" s="93">
        <f>'2023 FALL-CALCULATOR'!G31</f>
        <v>0</v>
      </c>
      <c r="D28" s="52">
        <v>743.1</v>
      </c>
      <c r="E28" s="7" t="str">
        <f>'2023 FALL-CALCULATOR'!K31</f>
        <v/>
      </c>
      <c r="F28" s="7" t="str">
        <f>'2023 FALL-CALCULATOR'!O31</f>
        <v/>
      </c>
    </row>
    <row r="29" spans="1:6" x14ac:dyDescent="0.25">
      <c r="A29" s="31" t="s">
        <v>85</v>
      </c>
      <c r="B29" s="31" t="s">
        <v>56</v>
      </c>
      <c r="C29" s="93">
        <f>'2023 FALL-CALCULATOR'!G32</f>
        <v>0</v>
      </c>
      <c r="D29" s="52">
        <v>525</v>
      </c>
      <c r="E29" s="7" t="str">
        <f>'2023 FALL-CALCULATOR'!K32</f>
        <v/>
      </c>
      <c r="F29" s="7" t="str">
        <f>'2023 FALL-CALCULATOR'!O32</f>
        <v/>
      </c>
    </row>
    <row r="30" spans="1:6" x14ac:dyDescent="0.25">
      <c r="A30" s="31" t="s">
        <v>86</v>
      </c>
      <c r="B30" s="31" t="s">
        <v>56</v>
      </c>
      <c r="C30" s="93">
        <f>'2023 FALL-CALCULATOR'!G33</f>
        <v>0</v>
      </c>
      <c r="D30" s="52">
        <v>431</v>
      </c>
      <c r="E30" s="7" t="str">
        <f>'2023 FALL-CALCULATOR'!K33</f>
        <v/>
      </c>
      <c r="F30" s="7" t="str">
        <f>'2023 FALL-CALCULATOR'!O33</f>
        <v/>
      </c>
    </row>
    <row r="31" spans="1:6" x14ac:dyDescent="0.25">
      <c r="A31" s="31" t="s">
        <v>87</v>
      </c>
      <c r="B31" s="31" t="s">
        <v>56</v>
      </c>
      <c r="C31" s="93">
        <f>'2023 FALL-CALCULATOR'!G34</f>
        <v>0</v>
      </c>
      <c r="D31" s="52">
        <v>373.75</v>
      </c>
      <c r="E31" s="7" t="str">
        <f>'2023 FALL-CALCULATOR'!K34</f>
        <v/>
      </c>
      <c r="F31" s="7" t="str">
        <f>'2023 FALL-CALCULATOR'!O34</f>
        <v/>
      </c>
    </row>
    <row r="32" spans="1:6" x14ac:dyDescent="0.25">
      <c r="A32" s="31" t="s">
        <v>88</v>
      </c>
      <c r="B32" s="31" t="s">
        <v>89</v>
      </c>
      <c r="C32" s="93">
        <f>'2023 FALL-CALCULATOR'!G35</f>
        <v>0</v>
      </c>
      <c r="D32" s="52">
        <v>392.5</v>
      </c>
      <c r="E32" s="7" t="str">
        <f>'2023 FALL-CALCULATOR'!K35</f>
        <v/>
      </c>
      <c r="F32" s="7" t="str">
        <f>'2023 FALL-CALCULATOR'!O35</f>
        <v/>
      </c>
    </row>
    <row r="33" spans="1:6" x14ac:dyDescent="0.25">
      <c r="A33" s="31" t="s">
        <v>91</v>
      </c>
      <c r="B33" s="31" t="s">
        <v>89</v>
      </c>
      <c r="C33" s="93">
        <f>'2023 FALL-CALCULATOR'!G36</f>
        <v>0</v>
      </c>
      <c r="D33" s="52">
        <v>368.95</v>
      </c>
      <c r="E33" s="7" t="str">
        <f>'2023 FALL-CALCULATOR'!K36</f>
        <v/>
      </c>
      <c r="F33" s="7" t="str">
        <f>'2023 FALL-CALCULATOR'!O36</f>
        <v/>
      </c>
    </row>
    <row r="34" spans="1:6" x14ac:dyDescent="0.25">
      <c r="A34" s="31" t="s">
        <v>162</v>
      </c>
      <c r="B34" s="31" t="s">
        <v>93</v>
      </c>
      <c r="C34" s="93">
        <f>'2023 FALL-CALCULATOR'!G37</f>
        <v>0</v>
      </c>
      <c r="D34" s="52">
        <v>206</v>
      </c>
      <c r="E34" s="7" t="str">
        <f>'2023 FALL-CALCULATOR'!K37</f>
        <v/>
      </c>
      <c r="F34" s="7" t="str">
        <f>'2023 FALL-CALCULATOR'!O37</f>
        <v/>
      </c>
    </row>
    <row r="35" spans="1:6" x14ac:dyDescent="0.25">
      <c r="A35" s="31" t="s">
        <v>95</v>
      </c>
      <c r="B35" s="31" t="s">
        <v>93</v>
      </c>
      <c r="C35" s="93">
        <f>'2023 FALL-CALCULATOR'!G38</f>
        <v>0</v>
      </c>
      <c r="D35" s="52">
        <v>189</v>
      </c>
      <c r="E35" s="7" t="str">
        <f>'2023 FALL-CALCULATOR'!K38</f>
        <v/>
      </c>
      <c r="F35" s="7" t="str">
        <f>'2023 FALL-CALCULATOR'!O38</f>
        <v/>
      </c>
    </row>
    <row r="36" spans="1:6" x14ac:dyDescent="0.25">
      <c r="A36" s="57" t="s">
        <v>96</v>
      </c>
      <c r="B36" s="57" t="s">
        <v>97</v>
      </c>
      <c r="C36" s="93">
        <f>'2023 FALL-CALCULATOR'!G39</f>
        <v>0</v>
      </c>
      <c r="D36" s="52">
        <v>2031.2</v>
      </c>
      <c r="E36" s="7" t="str">
        <f>'2023 FALL-CALCULATOR'!K39</f>
        <v/>
      </c>
      <c r="F36" s="7" t="str">
        <f>'2023 FALL-CALCULATOR'!O39</f>
        <v/>
      </c>
    </row>
    <row r="37" spans="1:6" x14ac:dyDescent="0.25">
      <c r="A37" s="57" t="s">
        <v>98</v>
      </c>
      <c r="B37" s="57" t="s">
        <v>97</v>
      </c>
      <c r="C37" s="93">
        <f>'2023 FALL-CALCULATOR'!G40</f>
        <v>0</v>
      </c>
      <c r="D37" s="52">
        <v>1743.5</v>
      </c>
      <c r="E37" s="7" t="str">
        <f>'2023 FALL-CALCULATOR'!K40</f>
        <v/>
      </c>
      <c r="F37" s="7" t="str">
        <f>'2023 FALL-CALCULATOR'!O40</f>
        <v/>
      </c>
    </row>
    <row r="38" spans="1:6" x14ac:dyDescent="0.25">
      <c r="A38" s="57" t="s">
        <v>99</v>
      </c>
      <c r="B38" s="57" t="s">
        <v>97</v>
      </c>
      <c r="C38" s="93">
        <f>'2023 FALL-CALCULATOR'!G41</f>
        <v>0</v>
      </c>
      <c r="D38" s="52">
        <v>1566.2</v>
      </c>
      <c r="E38" s="7" t="str">
        <f>'2023 FALL-CALCULATOR'!K41</f>
        <v/>
      </c>
      <c r="F38" s="7" t="str">
        <f>'2023 FALL-CALCULATOR'!O41</f>
        <v/>
      </c>
    </row>
    <row r="39" spans="1:6" x14ac:dyDescent="0.25">
      <c r="A39" s="31" t="s">
        <v>101</v>
      </c>
      <c r="B39" s="31" t="s">
        <v>102</v>
      </c>
      <c r="C39" s="93">
        <f>'2023 FALL-CALCULATOR'!G42</f>
        <v>0</v>
      </c>
      <c r="D39" s="52">
        <v>125.5</v>
      </c>
      <c r="E39" s="7" t="str">
        <f>'2023 FALL-CALCULATOR'!K42</f>
        <v/>
      </c>
      <c r="F39" s="7" t="str">
        <f>'2023 FALL-CALCULATOR'!O42</f>
        <v/>
      </c>
    </row>
    <row r="40" spans="1:6" x14ac:dyDescent="0.25">
      <c r="A40" s="31" t="s">
        <v>103</v>
      </c>
      <c r="B40" s="31" t="s">
        <v>56</v>
      </c>
      <c r="C40" s="93">
        <f>'2023 FALL-CALCULATOR'!G43</f>
        <v>0</v>
      </c>
      <c r="D40" s="52">
        <v>1033</v>
      </c>
      <c r="E40" s="7" t="str">
        <f>'2023 FALL-CALCULATOR'!K43</f>
        <v/>
      </c>
      <c r="F40" s="7" t="str">
        <f>'2023 FALL-CALCULATOR'!O43</f>
        <v/>
      </c>
    </row>
    <row r="41" spans="1:6" x14ac:dyDescent="0.25">
      <c r="A41" s="31" t="s">
        <v>105</v>
      </c>
      <c r="B41" s="31" t="s">
        <v>56</v>
      </c>
      <c r="C41" s="93">
        <f>'2023 FALL-CALCULATOR'!G44</f>
        <v>0</v>
      </c>
      <c r="D41" s="52">
        <v>939.2</v>
      </c>
      <c r="E41" s="7" t="str">
        <f>'2023 FALL-CALCULATOR'!K44</f>
        <v/>
      </c>
      <c r="F41" s="7" t="str">
        <f>'2023 FALL-CALCULATOR'!O44</f>
        <v/>
      </c>
    </row>
    <row r="42" spans="1:6" x14ac:dyDescent="0.25">
      <c r="A42" s="165" t="s">
        <v>107</v>
      </c>
      <c r="B42" s="165" t="s">
        <v>108</v>
      </c>
      <c r="C42" s="166">
        <f>'2023 FALL-CALCULATOR'!G45</f>
        <v>0</v>
      </c>
      <c r="D42" s="52">
        <v>498</v>
      </c>
      <c r="E42" s="167" t="str">
        <f>'2023 FALL-CALCULATOR'!K45</f>
        <v/>
      </c>
      <c r="F42" s="167" t="str">
        <f>'2023 FALL-CALCULATOR'!O45</f>
        <v/>
      </c>
    </row>
    <row r="43" spans="1:6" x14ac:dyDescent="0.25">
      <c r="A43" s="172" t="s">
        <v>110</v>
      </c>
      <c r="B43" s="172" t="s">
        <v>111</v>
      </c>
      <c r="C43" s="173">
        <f>'2023 FALL-CALCULATOR'!G46</f>
        <v>0</v>
      </c>
      <c r="D43" s="52">
        <v>405.3</v>
      </c>
      <c r="E43" s="174" t="str">
        <f>'2023 FALL-CALCULATOR'!K46</f>
        <v/>
      </c>
      <c r="F43" s="174" t="str">
        <f>'2023 FALL-CALCULATOR'!O46</f>
        <v/>
      </c>
    </row>
    <row r="44" spans="1:6" x14ac:dyDescent="0.25">
      <c r="A44" s="169"/>
      <c r="B44" s="169"/>
      <c r="C44" s="107"/>
      <c r="D44" s="170"/>
      <c r="E44" s="171"/>
      <c r="F44" s="171"/>
    </row>
    <row r="45" spans="1:6" x14ac:dyDescent="0.25">
      <c r="A45" s="169"/>
      <c r="B45" s="169"/>
      <c r="C45" s="107"/>
      <c r="D45" s="170"/>
      <c r="E45" s="171"/>
      <c r="F45" s="171"/>
    </row>
    <row r="46" spans="1:6" x14ac:dyDescent="0.25">
      <c r="A46" s="169"/>
      <c r="B46" s="169"/>
      <c r="C46" s="107"/>
      <c r="D46" s="170"/>
      <c r="E46" s="171"/>
      <c r="F46" s="171"/>
    </row>
    <row r="47" spans="1:6" x14ac:dyDescent="0.25">
      <c r="A47" s="169"/>
      <c r="B47" s="169"/>
      <c r="C47" s="107"/>
      <c r="D47" s="170"/>
      <c r="E47" s="171"/>
      <c r="F47" s="171"/>
    </row>
    <row r="48" spans="1:6" x14ac:dyDescent="0.25">
      <c r="A48" s="32" t="s">
        <v>163</v>
      </c>
      <c r="B48" s="169"/>
      <c r="C48" s="107"/>
      <c r="D48" s="170"/>
      <c r="E48" s="171"/>
      <c r="F48" s="171"/>
    </row>
    <row r="49" spans="1:6" x14ac:dyDescent="0.25">
      <c r="A49" s="32"/>
      <c r="B49" s="169"/>
      <c r="C49" s="107"/>
      <c r="D49" s="170"/>
      <c r="E49" s="171"/>
      <c r="F49" s="171"/>
    </row>
    <row r="50" spans="1:6" x14ac:dyDescent="0.25">
      <c r="A50" s="169"/>
      <c r="B50" s="169"/>
      <c r="C50" s="107"/>
      <c r="D50" s="170"/>
      <c r="E50" s="171"/>
      <c r="F50" s="171"/>
    </row>
    <row r="51" spans="1:6" x14ac:dyDescent="0.25">
      <c r="A51" s="172" t="s">
        <v>113</v>
      </c>
      <c r="B51" s="172" t="s">
        <v>114</v>
      </c>
      <c r="C51" s="173">
        <f>'2023 FALL-CALCULATOR'!G48</f>
        <v>0</v>
      </c>
      <c r="D51" s="188">
        <f>'2023 FALL-CALCULATOR'!J48</f>
        <v>0</v>
      </c>
      <c r="E51" s="174" t="str">
        <f>'2023 FALL-CALCULATOR'!K48</f>
        <v/>
      </c>
      <c r="F51" s="174" t="str">
        <f>'2023 FALL-CALCULATOR'!O48</f>
        <v/>
      </c>
    </row>
    <row r="52" spans="1:6" x14ac:dyDescent="0.25">
      <c r="A52" s="168" t="s">
        <v>116</v>
      </c>
      <c r="B52" s="168" t="s">
        <v>108</v>
      </c>
      <c r="C52" s="173">
        <f>'2023 FALL-CALCULATOR'!G49</f>
        <v>0</v>
      </c>
      <c r="D52" s="188">
        <f>'2023 FALL-CALCULATOR'!J49</f>
        <v>0</v>
      </c>
      <c r="E52" s="174" t="str">
        <f>'2023 FALL-CALCULATOR'!K49</f>
        <v/>
      </c>
      <c r="F52" s="174" t="str">
        <f>'2023 FALL-CALCULATOR'!O49</f>
        <v/>
      </c>
    </row>
    <row r="53" spans="1:6" x14ac:dyDescent="0.25">
      <c r="A53" s="31" t="s">
        <v>118</v>
      </c>
      <c r="B53" s="31" t="s">
        <v>119</v>
      </c>
      <c r="C53" s="173">
        <f>'2023 FALL-CALCULATOR'!G50</f>
        <v>0</v>
      </c>
      <c r="D53" s="188">
        <f>'2023 FALL-CALCULATOR'!J50</f>
        <v>0</v>
      </c>
      <c r="E53" s="174" t="str">
        <f>'2023 FALL-CALCULATOR'!K50</f>
        <v/>
      </c>
      <c r="F53" s="174" t="str">
        <f>'2023 FALL-CALCULATOR'!O50</f>
        <v/>
      </c>
    </row>
    <row r="54" spans="1:6" x14ac:dyDescent="0.25">
      <c r="A54" s="31" t="s">
        <v>164</v>
      </c>
      <c r="B54" s="138" t="s">
        <v>102</v>
      </c>
      <c r="C54" s="173">
        <f>'2023 FALL-CALCULATOR'!G51</f>
        <v>0</v>
      </c>
      <c r="D54" s="188">
        <f>'2023 FALL-CALCULATOR'!J51</f>
        <v>0</v>
      </c>
      <c r="E54" s="174" t="str">
        <f>'2023 FALL-CALCULATOR'!K51</f>
        <v/>
      </c>
      <c r="F54" s="174" t="str">
        <f>'2023 FALL-CALCULATOR'!O51</f>
        <v/>
      </c>
    </row>
    <row r="55" spans="1:6" x14ac:dyDescent="0.25">
      <c r="A55" s="31" t="s">
        <v>121</v>
      </c>
      <c r="B55" s="31" t="s">
        <v>122</v>
      </c>
      <c r="C55" s="173">
        <f>'2023 FALL-CALCULATOR'!G52</f>
        <v>0</v>
      </c>
      <c r="D55" s="188">
        <f>'2023 FALL-CALCULATOR'!J52</f>
        <v>0</v>
      </c>
      <c r="E55" s="174" t="str">
        <f>'2023 FALL-CALCULATOR'!K52</f>
        <v/>
      </c>
      <c r="F55" s="174" t="str">
        <f>'2023 FALL-CALCULATOR'!O52</f>
        <v/>
      </c>
    </row>
    <row r="56" spans="1:6" x14ac:dyDescent="0.25">
      <c r="A56" s="31" t="s">
        <v>123</v>
      </c>
      <c r="B56" s="31" t="s">
        <v>124</v>
      </c>
      <c r="C56" s="173">
        <f>'2023 FALL-CALCULATOR'!G53</f>
        <v>0</v>
      </c>
      <c r="D56" s="188">
        <f>'2023 FALL-CALCULATOR'!J53</f>
        <v>0</v>
      </c>
      <c r="E56" s="174" t="str">
        <f>'2023 FALL-CALCULATOR'!K53</f>
        <v/>
      </c>
      <c r="F56" s="174" t="str">
        <f>'2023 FALL-CALCULATOR'!O53</f>
        <v/>
      </c>
    </row>
    <row r="57" spans="1:6" x14ac:dyDescent="0.25">
      <c r="A57" s="31" t="s">
        <v>125</v>
      </c>
      <c r="B57" s="31" t="s">
        <v>165</v>
      </c>
      <c r="C57" s="173">
        <f>'2023 FALL-CALCULATOR'!G54</f>
        <v>0</v>
      </c>
      <c r="D57" s="188">
        <f>'2023 FALL-CALCULATOR'!J54</f>
        <v>0</v>
      </c>
      <c r="E57" s="174" t="str">
        <f>'2023 FALL-CALCULATOR'!K54</f>
        <v/>
      </c>
      <c r="F57" s="174" t="str">
        <f>'2023 FALL-CALCULATOR'!O54</f>
        <v/>
      </c>
    </row>
    <row r="58" spans="1:6" x14ac:dyDescent="0.25">
      <c r="A58" s="31" t="s">
        <v>127</v>
      </c>
      <c r="B58" s="31" t="s">
        <v>124</v>
      </c>
      <c r="C58" s="173">
        <f>'2023 FALL-CALCULATOR'!G55</f>
        <v>0</v>
      </c>
      <c r="D58" s="188">
        <f>'2023 FALL-CALCULATOR'!J55</f>
        <v>0</v>
      </c>
      <c r="E58" s="174" t="str">
        <f>'2023 FALL-CALCULATOR'!K55</f>
        <v/>
      </c>
      <c r="F58" s="174" t="str">
        <f>'2023 FALL-CALCULATOR'!O55</f>
        <v/>
      </c>
    </row>
    <row r="59" spans="1:6" x14ac:dyDescent="0.25">
      <c r="A59" s="31" t="s">
        <v>128</v>
      </c>
      <c r="B59" s="31" t="s">
        <v>114</v>
      </c>
      <c r="C59" s="173">
        <f>'2023 FALL-CALCULATOR'!G56</f>
        <v>0</v>
      </c>
      <c r="D59" s="188">
        <f>'2023 FALL-CALCULATOR'!J56</f>
        <v>0</v>
      </c>
      <c r="E59" s="174" t="str">
        <f>'2023 FALL-CALCULATOR'!K56</f>
        <v/>
      </c>
      <c r="F59" s="174" t="str">
        <f>'2023 FALL-CALCULATOR'!O56</f>
        <v/>
      </c>
    </row>
    <row r="60" spans="1:6" x14ac:dyDescent="0.25">
      <c r="A60" s="31" t="s">
        <v>82</v>
      </c>
      <c r="B60" s="31" t="s">
        <v>129</v>
      </c>
      <c r="C60" s="173">
        <f>'2023 FALL-CALCULATOR'!G57</f>
        <v>0</v>
      </c>
      <c r="D60" s="188">
        <f>'2023 FALL-CALCULATOR'!J57</f>
        <v>0</v>
      </c>
      <c r="E60" s="174" t="str">
        <f>'2023 FALL-CALCULATOR'!K57</f>
        <v/>
      </c>
      <c r="F60" s="174" t="str">
        <f>'2023 FALL-CALCULATOR'!O57</f>
        <v/>
      </c>
    </row>
    <row r="61" spans="1:6" x14ac:dyDescent="0.25">
      <c r="A61" s="31" t="s">
        <v>130</v>
      </c>
      <c r="B61" s="31" t="s">
        <v>131</v>
      </c>
      <c r="C61" s="173">
        <f>'2023 FALL-CALCULATOR'!G58</f>
        <v>0</v>
      </c>
      <c r="D61" s="188">
        <f>'2023 FALL-CALCULATOR'!J58</f>
        <v>0</v>
      </c>
      <c r="E61" s="174" t="str">
        <f>'2023 FALL-CALCULATOR'!K58</f>
        <v/>
      </c>
      <c r="F61" s="174" t="str">
        <f>'2023 FALL-CALCULATOR'!O58</f>
        <v/>
      </c>
    </row>
    <row r="62" spans="1:6" x14ac:dyDescent="0.25">
      <c r="A62" s="31" t="s">
        <v>166</v>
      </c>
      <c r="B62" s="31" t="s">
        <v>102</v>
      </c>
      <c r="C62" s="173">
        <f>'2023 FALL-CALCULATOR'!G59</f>
        <v>0</v>
      </c>
      <c r="D62" s="188">
        <f>'2023 FALL-CALCULATOR'!J59</f>
        <v>0</v>
      </c>
      <c r="E62" s="174" t="str">
        <f>'2023 FALL-CALCULATOR'!K59</f>
        <v/>
      </c>
      <c r="F62" s="174" t="str">
        <f>'2023 FALL-CALCULATOR'!O59</f>
        <v/>
      </c>
    </row>
    <row r="63" spans="1:6" x14ac:dyDescent="0.25">
      <c r="A63" s="105"/>
      <c r="B63" s="106"/>
      <c r="C63" s="107"/>
      <c r="D63" s="108"/>
      <c r="E63" s="109">
        <f>SUM(E13:E26)</f>
        <v>0</v>
      </c>
      <c r="F63" s="109"/>
    </row>
    <row r="64" spans="1:6" ht="16.5" thickBot="1" x14ac:dyDescent="0.3">
      <c r="A64" s="326" t="s">
        <v>133</v>
      </c>
      <c r="B64" s="326"/>
      <c r="C64" s="326"/>
      <c r="D64" s="326"/>
      <c r="E64" s="326"/>
    </row>
    <row r="65" spans="1:6" ht="15.75" thickTop="1" x14ac:dyDescent="0.25">
      <c r="A65" s="320" t="s">
        <v>135</v>
      </c>
      <c r="B65" s="320"/>
      <c r="C65" s="320"/>
      <c r="D65" s="320"/>
      <c r="E65" s="320"/>
    </row>
    <row r="66" spans="1:6" x14ac:dyDescent="0.25">
      <c r="A66" s="321"/>
      <c r="B66" s="321"/>
      <c r="C66" s="321"/>
      <c r="D66" s="321"/>
      <c r="E66" s="321"/>
    </row>
    <row r="67" spans="1:6" x14ac:dyDescent="0.25">
      <c r="A67" s="322"/>
      <c r="B67" s="322"/>
      <c r="C67" s="322"/>
      <c r="D67" s="322"/>
      <c r="E67" s="322"/>
    </row>
    <row r="68" spans="1:6" x14ac:dyDescent="0.25">
      <c r="A68" s="323" t="s">
        <v>167</v>
      </c>
      <c r="B68" s="324"/>
      <c r="C68" s="324"/>
      <c r="D68" s="325"/>
      <c r="E68" s="22">
        <f>'2023 FALL-CALCULATOR'!G65</f>
        <v>0</v>
      </c>
    </row>
    <row r="69" spans="1:6" x14ac:dyDescent="0.25">
      <c r="A69" s="311" t="s">
        <v>140</v>
      </c>
      <c r="B69" s="312"/>
      <c r="C69" s="312"/>
      <c r="D69" s="313"/>
      <c r="E69" s="23">
        <f>'2023 FALL-CALCULATOR'!G66</f>
        <v>0</v>
      </c>
    </row>
    <row r="70" spans="1:6" x14ac:dyDescent="0.25">
      <c r="A70" s="323" t="s">
        <v>168</v>
      </c>
      <c r="B70" s="324"/>
      <c r="C70" s="324"/>
      <c r="D70" s="325"/>
      <c r="E70" s="22">
        <f>'2023 FALL-CALCULATOR'!G67</f>
        <v>0</v>
      </c>
    </row>
    <row r="71" spans="1:6" x14ac:dyDescent="0.25">
      <c r="A71" s="311" t="s">
        <v>169</v>
      </c>
      <c r="B71" s="312"/>
      <c r="C71" s="312"/>
      <c r="D71" s="313"/>
      <c r="E71" s="113">
        <f>'2023 FALL-CALCULATOR'!G68</f>
        <v>0</v>
      </c>
    </row>
    <row r="72" spans="1:6" x14ac:dyDescent="0.25">
      <c r="A72" s="323" t="s">
        <v>170</v>
      </c>
      <c r="B72" s="324"/>
      <c r="C72" s="324"/>
      <c r="D72" s="325"/>
      <c r="E72" s="23">
        <f>'2023 FALL-CALCULATOR'!G69</f>
        <v>0</v>
      </c>
    </row>
    <row r="73" spans="1:6" x14ac:dyDescent="0.25">
      <c r="A73" s="311" t="s">
        <v>171</v>
      </c>
      <c r="B73" s="312"/>
      <c r="C73" s="312"/>
      <c r="D73" s="313"/>
      <c r="E73" s="22">
        <f>'2023 FALL-CALCULATOR'!G70</f>
        <v>0</v>
      </c>
    </row>
    <row r="74" spans="1:6" x14ac:dyDescent="0.25">
      <c r="A74" s="323" t="s">
        <v>172</v>
      </c>
      <c r="B74" s="324"/>
      <c r="C74" s="324"/>
      <c r="D74" s="325"/>
      <c r="E74" s="232">
        <f>'2023 FALL-CALCULATOR'!G71</f>
        <v>0</v>
      </c>
    </row>
    <row r="75" spans="1:6" x14ac:dyDescent="0.25">
      <c r="A75" s="110" t="s">
        <v>173</v>
      </c>
      <c r="B75" s="111"/>
      <c r="C75" s="111"/>
      <c r="D75" s="112"/>
      <c r="E75" s="115">
        <f>'2023 FALL-CALCULATOR'!G72</f>
        <v>0</v>
      </c>
    </row>
    <row r="76" spans="1:6" x14ac:dyDescent="0.25">
      <c r="A76" s="311" t="s">
        <v>174</v>
      </c>
      <c r="B76" s="312"/>
      <c r="C76" s="312"/>
      <c r="D76" s="313"/>
      <c r="E76" s="114">
        <f>'2023 FALL-CALCULATOR'!G73</f>
        <v>0</v>
      </c>
    </row>
    <row r="77" spans="1:6" ht="18.75" x14ac:dyDescent="0.25">
      <c r="A77" s="314" t="str">
        <f>CONCATENATE("Estimated MER points to be earned in the Product Cart: ",TEXT(IF(AND(E72 &lt;&gt;"", E72 &gt; 0),E72*100, 0),"#,##0"))</f>
        <v>Estimated MER points to be earned in the Product Cart: 0</v>
      </c>
      <c r="B77" s="315"/>
      <c r="C77" s="315"/>
      <c r="D77" s="315"/>
      <c r="E77" s="316"/>
    </row>
    <row r="78" spans="1:6" x14ac:dyDescent="0.25">
      <c r="A78" s="32"/>
      <c r="B78" s="32"/>
      <c r="C78" s="33"/>
      <c r="D78" s="32"/>
      <c r="E78" s="32"/>
      <c r="F78" s="32"/>
    </row>
    <row r="79" spans="1:6" x14ac:dyDescent="0.25">
      <c r="A79" s="32"/>
      <c r="B79" s="32"/>
      <c r="C79" s="33"/>
      <c r="D79" s="32"/>
      <c r="E79" s="32"/>
      <c r="F79" s="32"/>
    </row>
    <row r="80" spans="1:6" x14ac:dyDescent="0.25">
      <c r="A80" s="32"/>
      <c r="B80" s="32"/>
      <c r="C80" s="33"/>
      <c r="D80" s="32"/>
      <c r="E80" s="32"/>
      <c r="F80" s="32"/>
    </row>
    <row r="81" spans="1:6" x14ac:dyDescent="0.25">
      <c r="A81" s="32"/>
      <c r="B81" s="32"/>
      <c r="C81" s="33"/>
      <c r="D81" s="32"/>
      <c r="E81" s="32"/>
      <c r="F81" s="32"/>
    </row>
    <row r="82" spans="1:6" x14ac:dyDescent="0.25">
      <c r="A82" s="32"/>
      <c r="B82" s="32"/>
      <c r="C82" s="33"/>
      <c r="D82" s="32"/>
      <c r="E82" s="32"/>
      <c r="F82" s="32"/>
    </row>
    <row r="83" spans="1:6" x14ac:dyDescent="0.25">
      <c r="A83" s="32"/>
      <c r="B83" s="32"/>
      <c r="C83" s="33"/>
      <c r="D83" s="32"/>
      <c r="E83" s="32"/>
      <c r="F83" s="32"/>
    </row>
    <row r="84" spans="1:6" x14ac:dyDescent="0.25">
      <c r="A84" s="32"/>
      <c r="B84" s="32"/>
      <c r="C84" s="33"/>
      <c r="D84" s="32"/>
      <c r="E84" s="32"/>
      <c r="F84" s="32"/>
    </row>
    <row r="85" spans="1:6" x14ac:dyDescent="0.25">
      <c r="A85" s="32"/>
      <c r="B85" s="32"/>
      <c r="C85" s="33"/>
      <c r="D85" s="32"/>
      <c r="E85" s="32"/>
      <c r="F85" s="32"/>
    </row>
    <row r="86" spans="1:6" x14ac:dyDescent="0.25">
      <c r="A86" s="32"/>
      <c r="B86" s="32"/>
      <c r="C86" s="33"/>
      <c r="D86" s="32"/>
      <c r="E86" s="32"/>
      <c r="F86" s="32"/>
    </row>
    <row r="87" spans="1:6" x14ac:dyDescent="0.25">
      <c r="A87" s="32"/>
      <c r="B87" s="32"/>
      <c r="C87" s="33"/>
      <c r="D87" s="32"/>
      <c r="E87" s="32"/>
      <c r="F87" s="32"/>
    </row>
    <row r="88" spans="1:6" x14ac:dyDescent="0.25">
      <c r="A88" s="32"/>
      <c r="B88" s="32"/>
      <c r="C88" s="33"/>
      <c r="D88" s="32"/>
      <c r="E88" s="32"/>
      <c r="F88" s="32"/>
    </row>
    <row r="89" spans="1:6" x14ac:dyDescent="0.25">
      <c r="A89" s="32"/>
      <c r="B89" s="32"/>
      <c r="C89" s="33"/>
      <c r="D89" s="32"/>
      <c r="E89" s="32"/>
      <c r="F89" s="32"/>
    </row>
    <row r="90" spans="1:6" x14ac:dyDescent="0.25">
      <c r="A90" s="32"/>
      <c r="B90" s="32"/>
      <c r="C90" s="33"/>
      <c r="D90" s="32"/>
      <c r="E90" s="32"/>
      <c r="F90" s="32"/>
    </row>
    <row r="91" spans="1:6" x14ac:dyDescent="0.25">
      <c r="A91" s="32"/>
      <c r="B91" s="32"/>
      <c r="C91" s="33"/>
      <c r="D91" s="32"/>
      <c r="E91" s="32"/>
      <c r="F91" s="32"/>
    </row>
    <row r="92" spans="1:6" x14ac:dyDescent="0.25">
      <c r="A92" s="32"/>
      <c r="B92" s="32"/>
      <c r="C92" s="33"/>
      <c r="D92" s="32"/>
      <c r="E92" s="32"/>
      <c r="F92" s="32"/>
    </row>
    <row r="93" spans="1:6" x14ac:dyDescent="0.25">
      <c r="A93" s="32"/>
      <c r="B93" s="32"/>
      <c r="C93" s="33"/>
      <c r="D93" s="32"/>
      <c r="E93" s="32"/>
      <c r="F93" s="32"/>
    </row>
    <row r="94" spans="1:6" x14ac:dyDescent="0.25">
      <c r="A94" s="32"/>
      <c r="B94" s="32"/>
      <c r="C94" s="33"/>
      <c r="D94" s="32"/>
      <c r="E94" s="32"/>
      <c r="F94" s="32"/>
    </row>
    <row r="95" spans="1:6" x14ac:dyDescent="0.25">
      <c r="A95" s="32"/>
      <c r="B95" s="32"/>
      <c r="C95" s="33"/>
      <c r="D95" s="32"/>
      <c r="E95" s="32"/>
      <c r="F95" s="32"/>
    </row>
    <row r="96" spans="1:6" x14ac:dyDescent="0.25">
      <c r="A96" s="32"/>
      <c r="B96" s="32"/>
      <c r="C96" s="33"/>
      <c r="D96" s="32"/>
      <c r="E96" s="32"/>
      <c r="F96" s="32"/>
    </row>
    <row r="97" spans="1:6" x14ac:dyDescent="0.25">
      <c r="A97" s="32"/>
      <c r="B97" s="32"/>
      <c r="C97" s="33"/>
      <c r="D97" s="32"/>
      <c r="E97" s="32"/>
      <c r="F97" s="32"/>
    </row>
    <row r="98" spans="1:6" x14ac:dyDescent="0.25">
      <c r="A98" s="32"/>
      <c r="B98" s="32"/>
      <c r="C98" s="33"/>
      <c r="D98" s="32"/>
      <c r="E98" s="32"/>
      <c r="F98" s="32"/>
    </row>
    <row r="99" spans="1:6" x14ac:dyDescent="0.25">
      <c r="A99" s="32"/>
      <c r="B99" s="32"/>
      <c r="C99" s="33"/>
      <c r="D99" s="32"/>
      <c r="E99" s="32"/>
      <c r="F99" s="32"/>
    </row>
    <row r="100" spans="1:6" x14ac:dyDescent="0.25">
      <c r="A100" s="32"/>
      <c r="B100" s="32"/>
      <c r="C100" s="33"/>
      <c r="D100" s="32"/>
      <c r="E100" s="32"/>
      <c r="F100" s="32"/>
    </row>
    <row r="101" spans="1:6" x14ac:dyDescent="0.25">
      <c r="A101" s="32"/>
      <c r="B101" s="32"/>
      <c r="C101" s="33"/>
      <c r="D101" s="32"/>
      <c r="E101" s="32"/>
      <c r="F101" s="32"/>
    </row>
    <row r="102" spans="1:6" x14ac:dyDescent="0.25">
      <c r="A102" s="32"/>
      <c r="B102" s="32"/>
      <c r="C102" s="33"/>
      <c r="D102" s="32"/>
      <c r="E102" s="32"/>
      <c r="F102" s="32"/>
    </row>
    <row r="103" spans="1:6" x14ac:dyDescent="0.25">
      <c r="A103" s="32"/>
      <c r="B103" s="32"/>
      <c r="C103" s="33"/>
      <c r="D103" s="32"/>
      <c r="E103" s="32"/>
      <c r="F103" s="32"/>
    </row>
    <row r="104" spans="1:6" x14ac:dyDescent="0.25">
      <c r="A104" s="32"/>
      <c r="B104" s="32"/>
      <c r="C104" s="33"/>
      <c r="D104" s="32"/>
      <c r="E104" s="32"/>
      <c r="F104" s="32"/>
    </row>
    <row r="105" spans="1:6" x14ac:dyDescent="0.25">
      <c r="A105" s="32"/>
      <c r="B105" s="32"/>
      <c r="C105" s="33"/>
      <c r="D105" s="32"/>
      <c r="E105" s="32"/>
      <c r="F105" s="32"/>
    </row>
    <row r="106" spans="1:6" x14ac:dyDescent="0.25">
      <c r="A106" s="32"/>
      <c r="B106" s="32"/>
      <c r="C106" s="33"/>
      <c r="D106" s="32"/>
      <c r="E106" s="32"/>
      <c r="F106" s="32"/>
    </row>
    <row r="107" spans="1:6" x14ac:dyDescent="0.25">
      <c r="A107" s="32"/>
      <c r="B107" s="32"/>
      <c r="C107" s="33"/>
      <c r="D107" s="32"/>
      <c r="E107" s="32"/>
      <c r="F107" s="32"/>
    </row>
    <row r="108" spans="1:6" x14ac:dyDescent="0.25">
      <c r="A108" s="32"/>
      <c r="B108" s="32"/>
      <c r="C108" s="33"/>
      <c r="D108" s="32"/>
      <c r="E108" s="32"/>
      <c r="F108" s="32"/>
    </row>
    <row r="109" spans="1:6" x14ac:dyDescent="0.25">
      <c r="A109" s="32"/>
      <c r="B109" s="32"/>
      <c r="C109" s="33"/>
      <c r="D109" s="32"/>
      <c r="E109" s="32"/>
      <c r="F109" s="32"/>
    </row>
    <row r="110" spans="1:6" x14ac:dyDescent="0.25">
      <c r="A110" s="32"/>
      <c r="B110" s="32"/>
      <c r="C110" s="33"/>
      <c r="D110" s="32"/>
      <c r="E110" s="32"/>
      <c r="F110" s="32"/>
    </row>
    <row r="111" spans="1:6" x14ac:dyDescent="0.25">
      <c r="A111" s="32"/>
      <c r="B111" s="32"/>
      <c r="C111" s="33"/>
      <c r="D111" s="32"/>
      <c r="E111" s="32"/>
      <c r="F111" s="32"/>
    </row>
    <row r="112" spans="1:6" x14ac:dyDescent="0.25">
      <c r="A112" s="32"/>
      <c r="B112" s="32"/>
      <c r="C112" s="33"/>
      <c r="D112" s="32"/>
      <c r="E112" s="32"/>
      <c r="F112" s="32"/>
    </row>
    <row r="113" spans="1:6" ht="8.4499999999999993" customHeight="1" x14ac:dyDescent="0.25">
      <c r="A113" s="32"/>
      <c r="B113" s="32"/>
      <c r="C113" s="33"/>
      <c r="D113" s="32"/>
      <c r="E113" s="32"/>
      <c r="F113" s="32"/>
    </row>
    <row r="114" spans="1:6" ht="12" customHeight="1" x14ac:dyDescent="0.25"/>
    <row r="115" spans="1:6" ht="9" customHeight="1" x14ac:dyDescent="0.25"/>
    <row r="123" spans="1:6" ht="17.45" customHeight="1" x14ac:dyDescent="0.25"/>
  </sheetData>
  <sheetProtection algorithmName="SHA-512" hashValue="6zmOUjGDJRlAPFL2sPlUWSO0FZAsoKXoI0bqMHSeiM8Eq6wNuFnPlsa3pWWbFsR0imrlaofHYvnZFF4adOJuSw==" saltValue="FOBuQOXES135Jubj/LYHDw==" spinCount="100000" sheet="1" objects="1" scenarios="1"/>
  <mergeCells count="23">
    <mergeCell ref="B7:D7"/>
    <mergeCell ref="A71:D71"/>
    <mergeCell ref="F10:F12"/>
    <mergeCell ref="A10:A12"/>
    <mergeCell ref="B10:B12"/>
    <mergeCell ref="C10:C12"/>
    <mergeCell ref="D10:D12"/>
    <mergeCell ref="A76:D76"/>
    <mergeCell ref="A77:E77"/>
    <mergeCell ref="A2:D2"/>
    <mergeCell ref="A65:E67"/>
    <mergeCell ref="A68:D68"/>
    <mergeCell ref="A69:D69"/>
    <mergeCell ref="A70:D70"/>
    <mergeCell ref="A72:D72"/>
    <mergeCell ref="A73:D73"/>
    <mergeCell ref="A74:D74"/>
    <mergeCell ref="A64:E64"/>
    <mergeCell ref="E10:E12"/>
    <mergeCell ref="B3:D3"/>
    <mergeCell ref="B4:D4"/>
    <mergeCell ref="B5:D5"/>
    <mergeCell ref="B6:D6"/>
  </mergeCells>
  <phoneticPr fontId="23" type="noConversion"/>
  <pageMargins left="0.7" right="0.7" top="0.75" bottom="0.75" header="0.3" footer="0.3"/>
  <pageSetup orientation="portrait" r:id="rId1"/>
  <customProperties>
    <customPr name="Ibp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9770-3C8F-40EC-B9D3-77D3A62B9166}">
  <dimension ref="B3:G66"/>
  <sheetViews>
    <sheetView topLeftCell="A30" workbookViewId="0">
      <selection activeCell="D88" sqref="D88"/>
    </sheetView>
  </sheetViews>
  <sheetFormatPr defaultRowHeight="15" x14ac:dyDescent="0.25"/>
  <cols>
    <col min="2" max="2" width="31.7109375" customWidth="1"/>
    <col min="3" max="7" width="21.85546875" customWidth="1"/>
  </cols>
  <sheetData>
    <row r="3" spans="2:7" ht="14.45" customHeight="1" x14ac:dyDescent="0.25">
      <c r="B3" s="348" t="s">
        <v>175</v>
      </c>
      <c r="C3" s="349"/>
      <c r="D3" s="349"/>
      <c r="E3" s="349"/>
      <c r="F3" s="349"/>
      <c r="G3" s="350"/>
    </row>
    <row r="4" spans="2:7" x14ac:dyDescent="0.25">
      <c r="B4" s="351"/>
      <c r="C4" s="352"/>
      <c r="D4" s="352"/>
      <c r="E4" s="352"/>
      <c r="F4" s="352"/>
      <c r="G4" s="353"/>
    </row>
    <row r="5" spans="2:7" x14ac:dyDescent="0.25">
      <c r="B5" s="354"/>
      <c r="C5" s="355"/>
      <c r="D5" s="355"/>
      <c r="E5" s="355"/>
      <c r="F5" s="355"/>
      <c r="G5" s="356"/>
    </row>
    <row r="6" spans="2:7" x14ac:dyDescent="0.25">
      <c r="B6" s="131"/>
      <c r="C6" s="132"/>
      <c r="D6" s="132"/>
      <c r="E6" s="132"/>
      <c r="F6" s="132"/>
      <c r="G6" s="133"/>
    </row>
    <row r="7" spans="2:7" x14ac:dyDescent="0.25">
      <c r="B7" s="8" t="s">
        <v>176</v>
      </c>
      <c r="C7" s="8" t="s">
        <v>28</v>
      </c>
      <c r="D7" s="9" t="s">
        <v>29</v>
      </c>
      <c r="E7" s="8" t="s">
        <v>177</v>
      </c>
      <c r="F7" s="10" t="s">
        <v>178</v>
      </c>
      <c r="G7" s="13" t="s">
        <v>179</v>
      </c>
    </row>
    <row r="8" spans="2:7" x14ac:dyDescent="0.25">
      <c r="B8" s="6" t="s">
        <v>180</v>
      </c>
      <c r="C8" s="6" t="s">
        <v>97</v>
      </c>
      <c r="D8" s="11">
        <v>2</v>
      </c>
      <c r="E8" s="6" t="s">
        <v>181</v>
      </c>
      <c r="F8" s="12">
        <v>0.13800000000000001</v>
      </c>
      <c r="G8" s="37">
        <f>(D8*127.999939675621)/(F8*43.56)</f>
        <v>42.586583781031983</v>
      </c>
    </row>
    <row r="9" spans="2:7" x14ac:dyDescent="0.25">
      <c r="B9" s="6" t="s">
        <v>110</v>
      </c>
      <c r="C9" s="6" t="s">
        <v>111</v>
      </c>
      <c r="D9" s="11">
        <v>6</v>
      </c>
      <c r="E9" s="6" t="s">
        <v>182</v>
      </c>
      <c r="F9" s="12">
        <v>2.3E-2</v>
      </c>
      <c r="G9" s="37">
        <f>(D9*6)/(F9*43.56)</f>
        <v>35.932446999640675</v>
      </c>
    </row>
    <row r="11" spans="2:7" ht="14.45" customHeight="1" x14ac:dyDescent="0.25">
      <c r="B11" s="348" t="s">
        <v>183</v>
      </c>
      <c r="C11" s="349"/>
      <c r="D11" s="349"/>
      <c r="E11" s="349"/>
      <c r="F11" s="349"/>
      <c r="G11" s="350"/>
    </row>
    <row r="12" spans="2:7" ht="14.45" customHeight="1" x14ac:dyDescent="0.25">
      <c r="B12" s="351"/>
      <c r="C12" s="352"/>
      <c r="D12" s="352"/>
      <c r="E12" s="352"/>
      <c r="F12" s="352"/>
      <c r="G12" s="353"/>
    </row>
    <row r="13" spans="2:7" ht="24.95" customHeight="1" x14ac:dyDescent="0.25">
      <c r="B13" s="354"/>
      <c r="C13" s="355"/>
      <c r="D13" s="355"/>
      <c r="E13" s="355"/>
      <c r="F13" s="355"/>
      <c r="G13" s="356"/>
    </row>
    <row r="14" spans="2:7" x14ac:dyDescent="0.25">
      <c r="B14" s="131"/>
      <c r="C14" s="132"/>
      <c r="D14" s="132"/>
      <c r="E14" s="132"/>
      <c r="F14" s="132"/>
      <c r="G14" s="133"/>
    </row>
    <row r="15" spans="2:7" x14ac:dyDescent="0.25">
      <c r="B15" s="8" t="s">
        <v>176</v>
      </c>
      <c r="C15" s="8" t="s">
        <v>28</v>
      </c>
      <c r="D15" s="9" t="s">
        <v>29</v>
      </c>
      <c r="E15" s="8" t="s">
        <v>177</v>
      </c>
      <c r="F15" s="10" t="s">
        <v>178</v>
      </c>
      <c r="G15" s="13" t="s">
        <v>179</v>
      </c>
    </row>
    <row r="16" spans="2:7" x14ac:dyDescent="0.25">
      <c r="B16" s="6" t="s">
        <v>184</v>
      </c>
      <c r="C16" s="6" t="s">
        <v>185</v>
      </c>
      <c r="D16" s="11">
        <v>6</v>
      </c>
      <c r="E16" s="6" t="s">
        <v>186</v>
      </c>
      <c r="F16" s="12">
        <v>4</v>
      </c>
      <c r="G16" s="37">
        <f>(D16*319.999849189052)/(F16*43.56)</f>
        <v>11.01927855334201</v>
      </c>
    </row>
    <row r="17" spans="2:7" x14ac:dyDescent="0.25">
      <c r="B17" s="6" t="s">
        <v>78</v>
      </c>
      <c r="C17" s="6" t="s">
        <v>185</v>
      </c>
      <c r="D17" s="11">
        <v>2</v>
      </c>
      <c r="E17" s="6" t="s">
        <v>187</v>
      </c>
      <c r="F17" s="12">
        <v>1</v>
      </c>
      <c r="G17" s="37">
        <f>(D17*319.999849189052)/(F17*43.56)</f>
        <v>14.692371404456013</v>
      </c>
    </row>
    <row r="19" spans="2:7" ht="14.45" customHeight="1" x14ac:dyDescent="0.25">
      <c r="B19" s="348" t="s">
        <v>188</v>
      </c>
      <c r="C19" s="349"/>
      <c r="D19" s="349"/>
      <c r="E19" s="349"/>
      <c r="F19" s="349"/>
      <c r="G19" s="350"/>
    </row>
    <row r="20" spans="2:7" ht="14.45" customHeight="1" x14ac:dyDescent="0.25">
      <c r="B20" s="351"/>
      <c r="C20" s="352"/>
      <c r="D20" s="352"/>
      <c r="E20" s="352"/>
      <c r="F20" s="352"/>
      <c r="G20" s="353"/>
    </row>
    <row r="21" spans="2:7" ht="14.45" customHeight="1" x14ac:dyDescent="0.25">
      <c r="B21" s="354"/>
      <c r="C21" s="355"/>
      <c r="D21" s="355"/>
      <c r="E21" s="355"/>
      <c r="F21" s="355"/>
      <c r="G21" s="356"/>
    </row>
    <row r="22" spans="2:7" ht="14.45" customHeight="1" x14ac:dyDescent="0.25">
      <c r="B22" s="131"/>
      <c r="C22" s="132"/>
      <c r="D22" s="132"/>
      <c r="E22" s="132"/>
      <c r="F22" s="132"/>
      <c r="G22" s="133"/>
    </row>
    <row r="23" spans="2:7" ht="15" customHeight="1" x14ac:dyDescent="0.25">
      <c r="B23" s="120" t="s">
        <v>176</v>
      </c>
      <c r="C23" s="117" t="s">
        <v>28</v>
      </c>
      <c r="D23" s="117" t="s">
        <v>29</v>
      </c>
      <c r="E23" s="117" t="s">
        <v>177</v>
      </c>
      <c r="F23" s="117" t="s">
        <v>178</v>
      </c>
      <c r="G23" s="121" t="s">
        <v>179</v>
      </c>
    </row>
    <row r="24" spans="2:7" x14ac:dyDescent="0.25">
      <c r="B24" s="122" t="s">
        <v>189</v>
      </c>
      <c r="C24" s="118" t="s">
        <v>59</v>
      </c>
      <c r="D24" s="118">
        <v>16</v>
      </c>
      <c r="E24" s="118" t="s">
        <v>190</v>
      </c>
      <c r="F24" s="119">
        <v>0.113</v>
      </c>
      <c r="G24" s="123">
        <v>32.51</v>
      </c>
    </row>
    <row r="25" spans="2:7" x14ac:dyDescent="0.25">
      <c r="B25" s="124" t="s">
        <v>191</v>
      </c>
      <c r="C25" s="125" t="s">
        <v>192</v>
      </c>
      <c r="D25" s="125">
        <v>2</v>
      </c>
      <c r="E25" s="125" t="s">
        <v>181</v>
      </c>
      <c r="F25" s="126">
        <v>0.13800000000000001</v>
      </c>
      <c r="G25" s="127">
        <v>42.59</v>
      </c>
    </row>
    <row r="27" spans="2:7" ht="14.45" customHeight="1" x14ac:dyDescent="0.25">
      <c r="B27" s="339" t="s">
        <v>193</v>
      </c>
      <c r="C27" s="357"/>
      <c r="D27" s="357"/>
      <c r="E27" s="357"/>
      <c r="F27" s="357"/>
      <c r="G27" s="358"/>
    </row>
    <row r="28" spans="2:7" ht="14.45" customHeight="1" x14ac:dyDescent="0.25">
      <c r="B28" s="359"/>
      <c r="C28" s="352"/>
      <c r="D28" s="352"/>
      <c r="E28" s="352"/>
      <c r="F28" s="352"/>
      <c r="G28" s="360"/>
    </row>
    <row r="29" spans="2:7" ht="14.45" customHeight="1" x14ac:dyDescent="0.25">
      <c r="B29" s="361"/>
      <c r="C29" s="355"/>
      <c r="D29" s="355"/>
      <c r="E29" s="355"/>
      <c r="F29" s="355"/>
      <c r="G29" s="362"/>
    </row>
    <row r="30" spans="2:7" ht="14.45" customHeight="1" x14ac:dyDescent="0.25">
      <c r="B30" s="190"/>
      <c r="C30" s="132"/>
      <c r="D30" s="132"/>
      <c r="E30" s="132"/>
      <c r="F30" s="132"/>
      <c r="G30" s="191"/>
    </row>
    <row r="31" spans="2:7" ht="14.45" customHeight="1" x14ac:dyDescent="0.25">
      <c r="B31" s="192" t="s">
        <v>176</v>
      </c>
      <c r="C31" s="8" t="s">
        <v>28</v>
      </c>
      <c r="D31" s="9" t="s">
        <v>29</v>
      </c>
      <c r="E31" s="8" t="s">
        <v>177</v>
      </c>
      <c r="F31" s="10" t="s">
        <v>178</v>
      </c>
      <c r="G31" s="193" t="s">
        <v>179</v>
      </c>
    </row>
    <row r="32" spans="2:7" ht="20.100000000000001" customHeight="1" x14ac:dyDescent="0.25">
      <c r="B32" s="194" t="s">
        <v>55</v>
      </c>
      <c r="C32" s="6" t="s">
        <v>185</v>
      </c>
      <c r="D32" s="11">
        <v>4</v>
      </c>
      <c r="E32" s="6" t="s">
        <v>194</v>
      </c>
      <c r="F32" s="12">
        <v>2</v>
      </c>
      <c r="G32" s="195">
        <f>(D32*319.999849189052)/(F32*43.56)</f>
        <v>14.692371404456013</v>
      </c>
    </row>
    <row r="33" spans="2:7" ht="20.100000000000001" customHeight="1" x14ac:dyDescent="0.25">
      <c r="B33" s="196" t="s">
        <v>195</v>
      </c>
      <c r="C33" s="197" t="s">
        <v>196</v>
      </c>
      <c r="D33" s="198" t="s">
        <v>197</v>
      </c>
      <c r="E33" s="199" t="s">
        <v>198</v>
      </c>
      <c r="F33" s="200">
        <v>4</v>
      </c>
      <c r="G33" s="201">
        <f>(3*703.999999010471)/(F33*43.56)</f>
        <v>12.121212104174775</v>
      </c>
    </row>
    <row r="35" spans="2:7" ht="14.45" customHeight="1" x14ac:dyDescent="0.25">
      <c r="B35" s="339" t="s">
        <v>199</v>
      </c>
      <c r="C35" s="357"/>
      <c r="D35" s="357"/>
      <c r="E35" s="357"/>
      <c r="F35" s="357"/>
      <c r="G35" s="358"/>
    </row>
    <row r="36" spans="2:7" ht="14.45" customHeight="1" x14ac:dyDescent="0.25">
      <c r="B36" s="359"/>
      <c r="C36" s="352"/>
      <c r="D36" s="352"/>
      <c r="E36" s="352"/>
      <c r="F36" s="352"/>
      <c r="G36" s="360"/>
    </row>
    <row r="37" spans="2:7" ht="14.45" customHeight="1" x14ac:dyDescent="0.25">
      <c r="B37" s="361"/>
      <c r="C37" s="355"/>
      <c r="D37" s="355"/>
      <c r="E37" s="355"/>
      <c r="F37" s="355"/>
      <c r="G37" s="362"/>
    </row>
    <row r="38" spans="2:7" x14ac:dyDescent="0.25">
      <c r="B38" s="190"/>
      <c r="C38" s="132"/>
      <c r="D38" s="132"/>
      <c r="E38" s="132"/>
      <c r="F38" s="132"/>
      <c r="G38" s="191"/>
    </row>
    <row r="39" spans="2:7" x14ac:dyDescent="0.25">
      <c r="B39" s="192" t="s">
        <v>176</v>
      </c>
      <c r="C39" s="8" t="s">
        <v>28</v>
      </c>
      <c r="D39" s="9" t="s">
        <v>29</v>
      </c>
      <c r="E39" s="8" t="s">
        <v>177</v>
      </c>
      <c r="F39" s="10" t="s">
        <v>178</v>
      </c>
      <c r="G39" s="193" t="s">
        <v>179</v>
      </c>
    </row>
    <row r="40" spans="2:7" x14ac:dyDescent="0.25">
      <c r="B40" s="194" t="s">
        <v>55</v>
      </c>
      <c r="C40" s="6" t="s">
        <v>185</v>
      </c>
      <c r="D40" s="11">
        <v>4</v>
      </c>
      <c r="E40" s="6" t="s">
        <v>194</v>
      </c>
      <c r="F40" s="12">
        <v>2</v>
      </c>
      <c r="G40" s="195">
        <f>(D40*319.999849189052)/(F40*43.56)</f>
        <v>14.692371404456013</v>
      </c>
    </row>
    <row r="41" spans="2:7" x14ac:dyDescent="0.25">
      <c r="B41" s="202" t="s">
        <v>200</v>
      </c>
      <c r="C41" s="204" t="s">
        <v>93</v>
      </c>
      <c r="D41" s="203">
        <v>24</v>
      </c>
      <c r="E41" s="204" t="s">
        <v>198</v>
      </c>
      <c r="F41" s="205">
        <v>4</v>
      </c>
      <c r="G41" s="206">
        <f>(D41*87.9999998763089)/(F41*43.56)</f>
        <v>12.121212104174781</v>
      </c>
    </row>
    <row r="43" spans="2:7" ht="14.45" customHeight="1" x14ac:dyDescent="0.25">
      <c r="B43" s="339" t="s">
        <v>201</v>
      </c>
      <c r="C43" s="357"/>
      <c r="D43" s="357"/>
      <c r="E43" s="357"/>
      <c r="F43" s="357"/>
      <c r="G43" s="358"/>
    </row>
    <row r="44" spans="2:7" ht="14.45" customHeight="1" x14ac:dyDescent="0.25">
      <c r="B44" s="359"/>
      <c r="C44" s="352"/>
      <c r="D44" s="352"/>
      <c r="E44" s="352"/>
      <c r="F44" s="352"/>
      <c r="G44" s="360"/>
    </row>
    <row r="45" spans="2:7" ht="14.45" customHeight="1" x14ac:dyDescent="0.25">
      <c r="B45" s="361"/>
      <c r="C45" s="355"/>
      <c r="D45" s="355"/>
      <c r="E45" s="355"/>
      <c r="F45" s="355"/>
      <c r="G45" s="362"/>
    </row>
    <row r="46" spans="2:7" ht="15" customHeight="1" x14ac:dyDescent="0.25">
      <c r="B46" s="190"/>
      <c r="C46" s="132"/>
      <c r="D46" s="132"/>
      <c r="E46" s="132"/>
      <c r="F46" s="132"/>
      <c r="G46" s="191"/>
    </row>
    <row r="47" spans="2:7" x14ac:dyDescent="0.25">
      <c r="B47" s="207" t="s">
        <v>176</v>
      </c>
      <c r="C47" s="183" t="s">
        <v>28</v>
      </c>
      <c r="D47" s="183" t="s">
        <v>29</v>
      </c>
      <c r="E47" s="183" t="s">
        <v>177</v>
      </c>
      <c r="F47" s="183" t="s">
        <v>178</v>
      </c>
      <c r="G47" s="208" t="s">
        <v>179</v>
      </c>
    </row>
    <row r="48" spans="2:7" x14ac:dyDescent="0.25">
      <c r="B48" s="209" t="s">
        <v>202</v>
      </c>
      <c r="C48" s="118" t="s">
        <v>185</v>
      </c>
      <c r="D48" s="118">
        <v>12</v>
      </c>
      <c r="E48" s="118" t="s">
        <v>203</v>
      </c>
      <c r="F48" s="119">
        <v>2</v>
      </c>
      <c r="G48" s="210">
        <f>((320/2)/43.56)*12</f>
        <v>44.077134986225893</v>
      </c>
    </row>
    <row r="49" spans="2:7" x14ac:dyDescent="0.25">
      <c r="B49" s="211" t="s">
        <v>204</v>
      </c>
      <c r="C49" s="212" t="s">
        <v>185</v>
      </c>
      <c r="D49" s="212">
        <v>4</v>
      </c>
      <c r="E49" s="212" t="s">
        <v>194</v>
      </c>
      <c r="F49" s="213">
        <v>0.19600000000000001</v>
      </c>
      <c r="G49" s="214">
        <f>((51/0.196)/43.56)*4</f>
        <v>23.893855062686232</v>
      </c>
    </row>
    <row r="51" spans="2:7" ht="14.45" customHeight="1" x14ac:dyDescent="0.25">
      <c r="B51" s="339" t="s">
        <v>205</v>
      </c>
      <c r="C51" s="357"/>
      <c r="D51" s="357"/>
      <c r="E51" s="357"/>
      <c r="F51" s="357"/>
      <c r="G51" s="358"/>
    </row>
    <row r="52" spans="2:7" ht="14.45" customHeight="1" x14ac:dyDescent="0.25">
      <c r="B52" s="359"/>
      <c r="C52" s="352"/>
      <c r="D52" s="352"/>
      <c r="E52" s="352"/>
      <c r="F52" s="352"/>
      <c r="G52" s="360"/>
    </row>
    <row r="53" spans="2:7" ht="14.45" customHeight="1" x14ac:dyDescent="0.25">
      <c r="B53" s="361"/>
      <c r="C53" s="355"/>
      <c r="D53" s="355"/>
      <c r="E53" s="355"/>
      <c r="F53" s="355"/>
      <c r="G53" s="362"/>
    </row>
    <row r="54" spans="2:7" ht="15" customHeight="1" x14ac:dyDescent="0.25">
      <c r="B54" s="190"/>
      <c r="C54" s="132"/>
      <c r="D54" s="132"/>
      <c r="E54" s="132"/>
      <c r="F54" s="132"/>
      <c r="G54" s="191"/>
    </row>
    <row r="55" spans="2:7" x14ac:dyDescent="0.25">
      <c r="B55" s="192" t="s">
        <v>176</v>
      </c>
      <c r="C55" s="8" t="s">
        <v>28</v>
      </c>
      <c r="D55" s="9" t="s">
        <v>29</v>
      </c>
      <c r="E55" s="8" t="s">
        <v>177</v>
      </c>
      <c r="F55" s="10" t="s">
        <v>178</v>
      </c>
      <c r="G55" s="193" t="s">
        <v>179</v>
      </c>
    </row>
    <row r="56" spans="2:7" x14ac:dyDescent="0.25">
      <c r="B56" s="196" t="s">
        <v>195</v>
      </c>
      <c r="C56" s="226" t="s">
        <v>206</v>
      </c>
      <c r="D56" s="184">
        <v>12</v>
      </c>
      <c r="E56" s="31" t="s">
        <v>198</v>
      </c>
      <c r="F56" s="185">
        <v>4</v>
      </c>
      <c r="G56" s="215">
        <f>(3*703.999999010471)/(F56*43.56)</f>
        <v>12.121212104174775</v>
      </c>
    </row>
    <row r="57" spans="2:7" x14ac:dyDescent="0.25">
      <c r="B57" s="6" t="s">
        <v>184</v>
      </c>
      <c r="C57" s="199" t="s">
        <v>185</v>
      </c>
      <c r="D57" s="216">
        <v>6</v>
      </c>
      <c r="E57" s="199" t="s">
        <v>186</v>
      </c>
      <c r="F57" s="200">
        <v>4</v>
      </c>
      <c r="G57" s="201">
        <f>(D57*319.999849189052)/(F57*43.56)</f>
        <v>11.01927855334201</v>
      </c>
    </row>
    <row r="58" spans="2:7" x14ac:dyDescent="0.25">
      <c r="B58" s="217"/>
      <c r="C58" s="217"/>
      <c r="D58" s="218"/>
      <c r="E58" s="217"/>
      <c r="F58" s="219"/>
      <c r="G58" s="220"/>
    </row>
    <row r="59" spans="2:7" x14ac:dyDescent="0.25">
      <c r="B59" s="339" t="s">
        <v>207</v>
      </c>
      <c r="C59" s="340"/>
      <c r="D59" s="340"/>
      <c r="E59" s="340"/>
      <c r="F59" s="340"/>
      <c r="G59" s="341"/>
    </row>
    <row r="60" spans="2:7" x14ac:dyDescent="0.25">
      <c r="B60" s="342"/>
      <c r="C60" s="343"/>
      <c r="D60" s="343"/>
      <c r="E60" s="343"/>
      <c r="F60" s="343"/>
      <c r="G60" s="344"/>
    </row>
    <row r="61" spans="2:7" x14ac:dyDescent="0.25">
      <c r="B61" s="342"/>
      <c r="C61" s="343"/>
      <c r="D61" s="343"/>
      <c r="E61" s="343"/>
      <c r="F61" s="343"/>
      <c r="G61" s="344"/>
    </row>
    <row r="62" spans="2:7" x14ac:dyDescent="0.25">
      <c r="B62" s="345"/>
      <c r="C62" s="346"/>
      <c r="D62" s="346"/>
      <c r="E62" s="346"/>
      <c r="F62" s="346"/>
      <c r="G62" s="347"/>
    </row>
    <row r="63" spans="2:7" x14ac:dyDescent="0.25">
      <c r="B63" s="221"/>
      <c r="C63" s="134"/>
      <c r="D63" s="135"/>
      <c r="E63" s="134"/>
      <c r="F63" s="136"/>
      <c r="G63" s="222"/>
    </row>
    <row r="64" spans="2:7" x14ac:dyDescent="0.25">
      <c r="B64" s="192" t="s">
        <v>176</v>
      </c>
      <c r="C64" s="8" t="s">
        <v>28</v>
      </c>
      <c r="D64" s="9" t="s">
        <v>29</v>
      </c>
      <c r="E64" s="8" t="s">
        <v>177</v>
      </c>
      <c r="F64" s="10" t="s">
        <v>178</v>
      </c>
      <c r="G64" s="193" t="s">
        <v>179</v>
      </c>
    </row>
    <row r="65" spans="2:7" x14ac:dyDescent="0.25">
      <c r="B65" s="202" t="s">
        <v>200</v>
      </c>
      <c r="C65" s="6" t="s">
        <v>185</v>
      </c>
      <c r="D65" s="11">
        <v>24</v>
      </c>
      <c r="E65" s="6" t="s">
        <v>198</v>
      </c>
      <c r="F65" s="12">
        <v>4</v>
      </c>
      <c r="G65" s="195">
        <f>(D65*87.9999998763089)/(F65*43.56)</f>
        <v>12.121212104174781</v>
      </c>
    </row>
    <row r="66" spans="2:7" x14ac:dyDescent="0.25">
      <c r="B66" s="6" t="s">
        <v>184</v>
      </c>
      <c r="C66" s="204" t="s">
        <v>93</v>
      </c>
      <c r="D66" s="203">
        <v>6</v>
      </c>
      <c r="E66" s="204" t="s">
        <v>186</v>
      </c>
      <c r="F66" s="205">
        <v>4</v>
      </c>
      <c r="G66" s="206">
        <f>(D66*319.999849189052)/(F66*43.56)</f>
        <v>11.01927855334201</v>
      </c>
    </row>
  </sheetData>
  <sheetProtection algorithmName="SHA-512" hashValue="wxBVO6CPdIv6FaDlJWMWUdseuz/u+erjWt+wrM8+SxmKR2KWk4NgMa78w1mMOZN/NisnnBlizb93MR1rCPJL4A==" saltValue="jgcWWB/He3WarXemmgYVag==" spinCount="100000" sheet="1" objects="1" scenarios="1"/>
  <mergeCells count="8">
    <mergeCell ref="B59:G62"/>
    <mergeCell ref="B3:G5"/>
    <mergeCell ref="B43:G45"/>
    <mergeCell ref="B51:G53"/>
    <mergeCell ref="B11:G13"/>
    <mergeCell ref="B19:G21"/>
    <mergeCell ref="B27:G29"/>
    <mergeCell ref="B35:G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7FC80-651C-4CD5-BEFA-3A14423C9A9A}">
  <dimension ref="A1:A2"/>
  <sheetViews>
    <sheetView workbookViewId="0">
      <selection activeCell="F14" sqref="F14"/>
    </sheetView>
  </sheetViews>
  <sheetFormatPr defaultRowHeight="15" x14ac:dyDescent="0.25"/>
  <sheetData>
    <row r="1" spans="1:1" x14ac:dyDescent="0.25">
      <c r="A1" t="s">
        <v>138</v>
      </c>
    </row>
    <row r="2" spans="1:1" x14ac:dyDescent="0.25">
      <c r="A2" t="s">
        <v>208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46DD53A9704547929D8108F65BA31E" ma:contentTypeVersion="23" ma:contentTypeDescription="Create a new document." ma:contentTypeScope="" ma:versionID="4c53d81a057bb5102dd91d79a6d78782">
  <xsd:schema xmlns:xsd="http://www.w3.org/2001/XMLSchema" xmlns:xs="http://www.w3.org/2001/XMLSchema" xmlns:p="http://schemas.microsoft.com/office/2006/metadata/properties" xmlns:ns2="12380346-af75-4b42-99cb-3c92ab0c847d" xmlns:ns3="c4df1d42-0b6e-4c9a-bde1-371b1f6221f7" targetNamespace="http://schemas.microsoft.com/office/2006/metadata/properties" ma:root="true" ma:fieldsID="47f67200d53c0a35946d5503727b3146" ns2:_="" ns3:_="">
    <xsd:import namespace="12380346-af75-4b42-99cb-3c92ab0c847d"/>
    <xsd:import namespace="c4df1d42-0b6e-4c9a-bde1-371b1f6221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80346-af75-4b42-99cb-3c92ab0c847d"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2a2e794-9366-4967-bc2f-bbaf13cd7d6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df1d42-0b6e-4c9a-bde1-371b1f6221f7" elementFormDefault="qualified">
    <xsd:import namespace="http://schemas.microsoft.com/office/2006/documentManagement/types"/>
    <xsd:import namespace="http://schemas.microsoft.com/office/infopath/2007/PartnerControls"/>
    <xsd:element name="SharedWithUsers" ma:index="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ec5d722-6427-4129-9b77-ff15ac65cb56}" ma:internalName="TaxCatchAll" ma:showField="CatchAllData" ma:web="c4df1d42-0b6e-4c9a-bde1-371b1f6221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4df1d42-0b6e-4c9a-bde1-371b1f6221f7">
      <UserInfo>
        <DisplayName/>
        <AccountId xsi:nil="true"/>
        <AccountType/>
      </UserInfo>
    </SharedWithUsers>
    <lcf76f155ced4ddcb4097134ff3c332f xmlns="12380346-af75-4b42-99cb-3c92ab0c847d">
      <Terms xmlns="http://schemas.microsoft.com/office/infopath/2007/PartnerControls"/>
    </lcf76f155ced4ddcb4097134ff3c332f>
    <TaxCatchAll xmlns="c4df1d42-0b6e-4c9a-bde1-371b1f6221f7" xsi:nil="true"/>
    <MediaLengthInSeconds xmlns="12380346-af75-4b42-99cb-3c92ab0c847d" xsi:nil="true"/>
  </documentManagement>
</p:properties>
</file>

<file path=customXml/itemProps1.xml><?xml version="1.0" encoding="utf-8"?>
<ds:datastoreItem xmlns:ds="http://schemas.openxmlformats.org/officeDocument/2006/customXml" ds:itemID="{7411A684-2A8F-440C-916B-367DD85E8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80346-af75-4b42-99cb-3c92ab0c847d"/>
    <ds:schemaRef ds:uri="c4df1d42-0b6e-4c9a-bde1-371b1f6221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D0050A-FED6-4543-856B-2489F0527F4E}">
  <ds:schemaRefs>
    <ds:schemaRef ds:uri="http://schemas.microsoft.com/sharepoint/v3/contenttype/forms"/>
  </ds:schemaRefs>
</ds:datastoreItem>
</file>

<file path=customXml/itemProps3.xml><?xml version="1.0" encoding="utf-8"?>
<ds:datastoreItem xmlns:ds="http://schemas.openxmlformats.org/officeDocument/2006/customXml" ds:itemID="{739CE399-7F2C-4AB7-B85C-DC0375166756}">
  <ds:schemaRefs>
    <ds:schemaRef ds:uri="http://www.w3.org/XML/1998/namespace"/>
    <ds:schemaRef ds:uri="http://purl.org/dc/terms/"/>
    <ds:schemaRef ds:uri="12380346-af75-4b42-99cb-3c92ab0c847d"/>
    <ds:schemaRef ds:uri="http://schemas.microsoft.com/office/2006/metadata/properties"/>
    <ds:schemaRef ds:uri="c4df1d42-0b6e-4c9a-bde1-371b1f6221f7"/>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2023 FALL-CALCULATOR</vt:lpstr>
      <vt:lpstr>PRINTABLE SUMMARY</vt:lpstr>
      <vt:lpstr>PAIRING DETAILS</vt:lpstr>
      <vt:lpstr>Dropdown</vt:lpstr>
      <vt:lpstr>National_Header</vt:lpstr>
      <vt:lpstr>National_ProductForm</vt:lpstr>
      <vt:lpstr>National_Summary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McNamara</dc:creator>
  <cp:keywords/>
  <dc:description/>
  <cp:lastModifiedBy>Michael Miracle</cp:lastModifiedBy>
  <cp:revision/>
  <dcterms:created xsi:type="dcterms:W3CDTF">2021-09-07T21:38:27Z</dcterms:created>
  <dcterms:modified xsi:type="dcterms:W3CDTF">2023-09-14T18:29:32Z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0x0101003746DD53A9704547929D8108F65BA31E</vt:lpwstr>
  </property>
  <property fmtid="{D5CDD505-2E9C-101B-9397-08002B2CF9AE}" pid="3" name="c2b5fb8256bd435bb7806ac3891e195b">
    <vt:lpwstr>Short-Term|6d967203-8346-4b9c-90f8-b3828a3fa508</vt:lpwstr>
  </property>
  <property fmtid="{D5CDD505-2E9C-101B-9397-08002B2CF9AE}" pid="4" name="DataClassBayerRetention">
    <vt:lpwstr>1;#Short-Term|6d967203-8346-4b9c-90f8-b3828a3fa508</vt:lpwstr>
  </property>
  <property fmtid="{D5CDD505-2E9C-101B-9397-08002B2CF9AE}" pid="5" name="Order">
    <vt:r8>127100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SIP_Label_7f850223-87a8-40c3-9eb2-432606efca2a_Enabled">
    <vt:lpwstr>true</vt:lpwstr>
  </property>
  <property fmtid="{D5CDD505-2E9C-101B-9397-08002B2CF9AE}" pid="13" name="MSIP_Label_7f850223-87a8-40c3-9eb2-432606efca2a_SetDate">
    <vt:lpwstr>2022-07-22T15:56:38Z</vt:lpwstr>
  </property>
  <property fmtid="{D5CDD505-2E9C-101B-9397-08002B2CF9AE}" pid="14" name="MSIP_Label_7f850223-87a8-40c3-9eb2-432606efca2a_Method">
    <vt:lpwstr>Privileged</vt:lpwstr>
  </property>
  <property fmtid="{D5CDD505-2E9C-101B-9397-08002B2CF9AE}" pid="15" name="MSIP_Label_7f850223-87a8-40c3-9eb2-432606efca2a_Name">
    <vt:lpwstr>7f850223-87a8-40c3-9eb2-432606efca2a</vt:lpwstr>
  </property>
  <property fmtid="{D5CDD505-2E9C-101B-9397-08002B2CF9AE}" pid="16" name="MSIP_Label_7f850223-87a8-40c3-9eb2-432606efca2a_SiteId">
    <vt:lpwstr>fcb2b37b-5da0-466b-9b83-0014b67a7c78</vt:lpwstr>
  </property>
  <property fmtid="{D5CDD505-2E9C-101B-9397-08002B2CF9AE}" pid="17" name="MSIP_Label_7f850223-87a8-40c3-9eb2-432606efca2a_ActionId">
    <vt:lpwstr>51fffae4-65b7-4d0e-b5e6-c46adae54804</vt:lpwstr>
  </property>
  <property fmtid="{D5CDD505-2E9C-101B-9397-08002B2CF9AE}" pid="18" name="MSIP_Label_7f850223-87a8-40c3-9eb2-432606efca2a_ContentBits">
    <vt:lpwstr>0</vt:lpwstr>
  </property>
  <property fmtid="{D5CDD505-2E9C-101B-9397-08002B2CF9AE}" pid="19" name="IbpWorkbookKeyString_GUID">
    <vt:lpwstr>7e9b61c9-a92b-42dc-a2ff-2e076b477a9c</vt:lpwstr>
  </property>
  <property fmtid="{D5CDD505-2E9C-101B-9397-08002B2CF9AE}" pid="20" name="MSIP_Label_52704955-3550-4c1c-9097-1672b88a0b7a_Enabled">
    <vt:lpwstr>true</vt:lpwstr>
  </property>
  <property fmtid="{D5CDD505-2E9C-101B-9397-08002B2CF9AE}" pid="21" name="MSIP_Label_52704955-3550-4c1c-9097-1672b88a0b7a_SetDate">
    <vt:lpwstr>2023-06-12T18:32:57Z</vt:lpwstr>
  </property>
  <property fmtid="{D5CDD505-2E9C-101B-9397-08002B2CF9AE}" pid="22" name="MSIP_Label_52704955-3550-4c1c-9097-1672b88a0b7a_Method">
    <vt:lpwstr>Standard</vt:lpwstr>
  </property>
  <property fmtid="{D5CDD505-2E9C-101B-9397-08002B2CF9AE}" pid="23" name="MSIP_Label_52704955-3550-4c1c-9097-1672b88a0b7a_Name">
    <vt:lpwstr>RESTRICTED</vt:lpwstr>
  </property>
  <property fmtid="{D5CDD505-2E9C-101B-9397-08002B2CF9AE}" pid="24" name="MSIP_Label_52704955-3550-4c1c-9097-1672b88a0b7a_SiteId">
    <vt:lpwstr>c4dedb74-d916-4ef4-b6b5-af80c59e9742</vt:lpwstr>
  </property>
  <property fmtid="{D5CDD505-2E9C-101B-9397-08002B2CF9AE}" pid="25" name="MSIP_Label_52704955-3550-4c1c-9097-1672b88a0b7a_ActionId">
    <vt:lpwstr>1f624100-52f8-4476-8624-c947816b3eef</vt:lpwstr>
  </property>
  <property fmtid="{D5CDD505-2E9C-101B-9397-08002B2CF9AE}" pid="26" name="MSIP_Label_52704955-3550-4c1c-9097-1672b88a0b7a_ContentBits">
    <vt:lpwstr>0</vt:lpwstr>
  </property>
  <property fmtid="{D5CDD505-2E9C-101B-9397-08002B2CF9AE}" pid="27" name="MediaServiceImageTags">
    <vt:lpwstr/>
  </property>
</Properties>
</file>