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codeName="ThisWorkbook" defaultThemeVersion="202300"/>
  <mc:AlternateContent xmlns:mc="http://schemas.openxmlformats.org/markup-compatibility/2006">
    <mc:Choice Requires="x15">
      <x15ac:absPath xmlns:x15ac="http://schemas.microsoft.com/office/spreadsheetml/2010/11/ac" url="/Users/mattkinnard/Downloads/"/>
    </mc:Choice>
  </mc:AlternateContent>
  <xr:revisionPtr revIDLastSave="0" documentId="8_{F0995845-5303-6649-BC87-AAB92F6E3D85}" xr6:coauthVersionLast="47" xr6:coauthVersionMax="47" xr10:uidLastSave="{00000000-0000-0000-0000-000000000000}"/>
  <bookViews>
    <workbookView xWindow="0" yWindow="780" windowWidth="19420" windowHeight="10300" xr2:uid="{BA37CDE6-CB37-4852-B037-364B0D70791D}"/>
  </bookViews>
  <sheets>
    <sheet name="Estimates" sheetId="1" r:id="rId1"/>
    <sheet name="SUMMARY-UNITS(2026)" sheetId="2" r:id="rId2"/>
    <sheet name="TblRebate" sheetId="3" state="veryHidden" r:id="rId3"/>
    <sheet name="TblPricing" sheetId="5" state="veryHidden" r:id="rId4"/>
  </sheets>
  <definedNames>
    <definedName name="_xlnm._FilterDatabase" localSheetId="1" hidden="1">'SUMMARY-UNITS(2026)'!$A$13:$B$65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AE4" i="5" l="1"/>
  <c r="AE5" i="5"/>
  <c r="AE6" i="5"/>
  <c r="AE7" i="5"/>
  <c r="AE8" i="5"/>
  <c r="AE9" i="5"/>
  <c r="AE10" i="5"/>
  <c r="AE11" i="5"/>
  <c r="AE12" i="5" s="1"/>
  <c r="AE13" i="5"/>
  <c r="AE14" i="5"/>
  <c r="AE15" i="5"/>
  <c r="AE16" i="5" s="1"/>
  <c r="AE17" i="5"/>
  <c r="AE18" i="5"/>
  <c r="AE19" i="5"/>
  <c r="AE20" i="5"/>
  <c r="AE21" i="5"/>
  <c r="AE22" i="5"/>
  <c r="AE23" i="5"/>
  <c r="AE24" i="5"/>
  <c r="AE25" i="5" s="1"/>
  <c r="AE26" i="5" s="1"/>
  <c r="AE27" i="5"/>
  <c r="AE28" i="5"/>
  <c r="AE29" i="5"/>
  <c r="AE30" i="5"/>
  <c r="AE31" i="5"/>
  <c r="AE32" i="5"/>
  <c r="AE33" i="5"/>
  <c r="AE34" i="5" s="1"/>
  <c r="AE35" i="5"/>
  <c r="AE36" i="5"/>
  <c r="AE37" i="5"/>
  <c r="AE38" i="5"/>
  <c r="AE39" i="5"/>
  <c r="AE40" i="5"/>
  <c r="AE41" i="5"/>
  <c r="AE42" i="5" s="1"/>
  <c r="AE43" i="5"/>
  <c r="AE44" i="5"/>
  <c r="AE45" i="5" s="1"/>
  <c r="AE46" i="5"/>
  <c r="AE47" i="5"/>
  <c r="AE48" i="5"/>
  <c r="AE49" i="5"/>
  <c r="AE50" i="5"/>
  <c r="AE51" i="5"/>
  <c r="AE52" i="5"/>
  <c r="AE53" i="5"/>
  <c r="AE54" i="5" s="1"/>
  <c r="AE55" i="5"/>
  <c r="AE56" i="5"/>
  <c r="AE57" i="5"/>
  <c r="AE58" i="5"/>
  <c r="AE59" i="5"/>
  <c r="AE60" i="5"/>
  <c r="AE61" i="5" s="1"/>
  <c r="AE62" i="5"/>
  <c r="AE63" i="5"/>
  <c r="AE64" i="5"/>
  <c r="AE65" i="5"/>
  <c r="AE66" i="5"/>
  <c r="AE67" i="5"/>
  <c r="AE68" i="5" s="1"/>
  <c r="G14" i="2" l="1"/>
  <c r="G15" i="2"/>
  <c r="B15" i="2" s="1"/>
  <c r="G16" i="2"/>
  <c r="B14" i="2"/>
  <c r="B16" i="2"/>
  <c r="D16" i="1" a="1"/>
  <c r="D17" i="1" a="1"/>
  <c r="D15" i="1" a="1"/>
  <c r="E15" i="1"/>
  <c r="D14" i="2" s="1"/>
  <c r="F15" i="1"/>
  <c r="E14" i="2" s="1"/>
  <c r="G15" i="1"/>
  <c r="F14" i="2" s="1"/>
  <c r="I15" i="1"/>
  <c r="J15" i="1" s="1"/>
  <c r="K15" i="1"/>
  <c r="I14" i="2" s="1"/>
  <c r="E16" i="1"/>
  <c r="D15" i="2" s="1"/>
  <c r="F16" i="1"/>
  <c r="E15" i="2" s="1"/>
  <c r="G16" i="1"/>
  <c r="F15" i="2" s="1"/>
  <c r="I16" i="1"/>
  <c r="H15" i="2" s="1"/>
  <c r="K16" i="1"/>
  <c r="I15" i="2" s="1"/>
  <c r="E17" i="1"/>
  <c r="D16" i="2" s="1"/>
  <c r="F17" i="1"/>
  <c r="E16" i="2" s="1"/>
  <c r="G17" i="1"/>
  <c r="F16" i="2" s="1"/>
  <c r="I17" i="1"/>
  <c r="H16" i="2" s="1"/>
  <c r="K17" i="1"/>
  <c r="I16" i="2" s="1"/>
  <c r="N17" i="1"/>
  <c r="O17" i="1" s="1"/>
  <c r="Q17" i="1"/>
  <c r="S17" i="1"/>
  <c r="K16" i="2" s="1"/>
  <c r="L16" i="2" s="1"/>
  <c r="W17" i="1"/>
  <c r="X17" i="1" s="1"/>
  <c r="B15" i="1"/>
  <c r="B16" i="1"/>
  <c r="B17" i="1"/>
  <c r="B50" i="3"/>
  <c r="B51" i="3"/>
  <c r="B52" i="3"/>
  <c r="C50" i="3"/>
  <c r="C51" i="3"/>
  <c r="C52" i="3"/>
  <c r="D50" i="3"/>
  <c r="D51" i="3"/>
  <c r="D52" i="3"/>
  <c r="E50" i="3" a="1"/>
  <c r="E51" i="3" a="1"/>
  <c r="E52" i="3" a="1"/>
  <c r="J50" i="3" a="1"/>
  <c r="J51" i="3" a="1"/>
  <c r="J52" i="3" a="1"/>
  <c r="K50" i="3" a="1"/>
  <c r="K51" i="3" a="1"/>
  <c r="K52" i="3" a="1"/>
  <c r="L50" i="3" a="1"/>
  <c r="L51" i="3" a="1"/>
  <c r="L52" i="3" a="1"/>
  <c r="M50" i="3" a="1"/>
  <c r="M51" i="3" a="1"/>
  <c r="M52" i="3" a="1"/>
  <c r="N50" i="3"/>
  <c r="N51" i="3"/>
  <c r="N52" i="3"/>
  <c r="P50" i="3"/>
  <c r="P51" i="3"/>
  <c r="P52" i="3"/>
  <c r="N7" i="5"/>
  <c r="Q7" i="5"/>
  <c r="L15" i="1" l="1"/>
  <c r="J14" i="2" s="1"/>
  <c r="L17" i="1"/>
  <c r="J16" i="2" s="1"/>
  <c r="L16" i="1"/>
  <c r="J15" i="2" s="1"/>
  <c r="J16" i="1"/>
  <c r="H14" i="2"/>
  <c r="J17" i="1"/>
  <c r="D18" i="1" l="1" a="1"/>
  <c r="D40" i="1" a="1"/>
  <c r="D39" i="1" a="1"/>
  <c r="D32" i="1" a="1"/>
  <c r="D33" i="1" a="1"/>
  <c r="D34" i="1" a="1"/>
  <c r="D35" i="1" a="1"/>
  <c r="D36" i="1" a="1"/>
  <c r="D37" i="1" a="1"/>
  <c r="D38" i="1" a="1"/>
  <c r="D24" i="1" a="1"/>
  <c r="D25" i="1" a="1"/>
  <c r="D26" i="1" a="1"/>
  <c r="D27" i="1" a="1"/>
  <c r="D28" i="1" a="1"/>
  <c r="D29" i="1" a="1"/>
  <c r="D30" i="1" a="1"/>
  <c r="D31" i="1" a="1"/>
  <c r="D19" i="1" a="1"/>
  <c r="D20" i="1" a="1"/>
  <c r="D21" i="1" a="1"/>
  <c r="D22" i="1" a="1"/>
  <c r="D23" i="1" a="1"/>
  <c r="T45" i="1" l="1" a="1"/>
  <c r="G18" i="2"/>
  <c r="B18" i="2" s="1"/>
  <c r="G19" i="2"/>
  <c r="B19" i="2" s="1"/>
  <c r="G20" i="2"/>
  <c r="B20" i="2" s="1"/>
  <c r="G21" i="2"/>
  <c r="B21" i="2" s="1"/>
  <c r="G22" i="2"/>
  <c r="B22" i="2" s="1"/>
  <c r="G23" i="2"/>
  <c r="B23" i="2" s="1"/>
  <c r="G24" i="2"/>
  <c r="B24" i="2" s="1"/>
  <c r="G25" i="2"/>
  <c r="B25" i="2" s="1"/>
  <c r="G26" i="2"/>
  <c r="B26" i="2" s="1"/>
  <c r="G27" i="2"/>
  <c r="B27" i="2" s="1"/>
  <c r="G28" i="2"/>
  <c r="B28" i="2" s="1"/>
  <c r="G29" i="2"/>
  <c r="B29" i="2" s="1"/>
  <c r="G30" i="2"/>
  <c r="B30" i="2" s="1"/>
  <c r="G31" i="2"/>
  <c r="B31" i="2" s="1"/>
  <c r="G32" i="2"/>
  <c r="B32" i="2" s="1"/>
  <c r="G33" i="2"/>
  <c r="B33" i="2" s="1"/>
  <c r="G34" i="2"/>
  <c r="B34" i="2" s="1"/>
  <c r="G35" i="2"/>
  <c r="B35" i="2" s="1"/>
  <c r="G36" i="2"/>
  <c r="B36" i="2" s="1"/>
  <c r="G37" i="2"/>
  <c r="B37" i="2" s="1"/>
  <c r="G38" i="2"/>
  <c r="B38" i="2" s="1"/>
  <c r="G39" i="2"/>
  <c r="B39" i="2" s="1"/>
  <c r="G43" i="2"/>
  <c r="B43" i="2" s="1"/>
  <c r="G44" i="2"/>
  <c r="I44" i="2" s="1"/>
  <c r="G45" i="2"/>
  <c r="I45" i="2" s="1"/>
  <c r="G46" i="2"/>
  <c r="I46" i="2" s="1"/>
  <c r="G47" i="2"/>
  <c r="B47" i="2" s="1"/>
  <c r="G48" i="2"/>
  <c r="I48" i="2" s="1"/>
  <c r="G49" i="2"/>
  <c r="B49" i="2" s="1"/>
  <c r="G50" i="2"/>
  <c r="I50" i="2" s="1"/>
  <c r="G51" i="2"/>
  <c r="I51" i="2" s="1"/>
  <c r="G52" i="2"/>
  <c r="I52" i="2" s="1"/>
  <c r="G53" i="2"/>
  <c r="B53" i="2" s="1"/>
  <c r="G54" i="2"/>
  <c r="I54" i="2" s="1"/>
  <c r="G55" i="2"/>
  <c r="B55" i="2" s="1"/>
  <c r="G56" i="2"/>
  <c r="B56" i="2" s="1"/>
  <c r="G57" i="2"/>
  <c r="B57" i="2" s="1"/>
  <c r="G58" i="2"/>
  <c r="B58" i="2" s="1"/>
  <c r="G59" i="2"/>
  <c r="B59" i="2" s="1"/>
  <c r="G60" i="2"/>
  <c r="I60" i="2" s="1"/>
  <c r="G61" i="2"/>
  <c r="B61" i="2" s="1"/>
  <c r="G62" i="2"/>
  <c r="I62" i="2" s="1"/>
  <c r="G63" i="2"/>
  <c r="B63" i="2" s="1"/>
  <c r="G64" i="2"/>
  <c r="B64" i="2" s="1"/>
  <c r="G65" i="2"/>
  <c r="B65" i="2" s="1"/>
  <c r="J46" i="1"/>
  <c r="M46" i="1" s="1"/>
  <c r="L46" i="1"/>
  <c r="J43" i="2" s="1"/>
  <c r="N46" i="1"/>
  <c r="O46" i="1"/>
  <c r="K46" i="1" s="1"/>
  <c r="P46" i="1" s="1"/>
  <c r="K43" i="2" s="1"/>
  <c r="Q46" i="1"/>
  <c r="L43" i="2" s="1"/>
  <c r="J47" i="1"/>
  <c r="M47" i="1" s="1"/>
  <c r="L47" i="1"/>
  <c r="J44" i="2" s="1"/>
  <c r="N47" i="1"/>
  <c r="O47" i="1"/>
  <c r="K47" i="1" s="1"/>
  <c r="P47" i="1" s="1"/>
  <c r="K44" i="2" s="1"/>
  <c r="Q47" i="1"/>
  <c r="L44" i="2" s="1"/>
  <c r="J48" i="1"/>
  <c r="M48" i="1" s="1"/>
  <c r="L48" i="1"/>
  <c r="J45" i="2" s="1"/>
  <c r="N48" i="1"/>
  <c r="O48" i="1"/>
  <c r="K48" i="1" s="1"/>
  <c r="P48" i="1" s="1"/>
  <c r="K45" i="2" s="1"/>
  <c r="Q48" i="1"/>
  <c r="L45" i="2" s="1"/>
  <c r="J49" i="1"/>
  <c r="M49" i="1" s="1"/>
  <c r="L49" i="1"/>
  <c r="J46" i="2" s="1"/>
  <c r="N49" i="1"/>
  <c r="O49" i="1"/>
  <c r="K49" i="1" s="1"/>
  <c r="P49" i="1" s="1"/>
  <c r="K46" i="2" s="1"/>
  <c r="Q49" i="1"/>
  <c r="L46" i="2" s="1"/>
  <c r="J50" i="1"/>
  <c r="M50" i="1" s="1"/>
  <c r="N50" i="1" s="1"/>
  <c r="L50" i="1"/>
  <c r="J47" i="2" s="1"/>
  <c r="J51" i="1"/>
  <c r="M51" i="1" s="1"/>
  <c r="L51" i="1"/>
  <c r="J48" i="2" s="1"/>
  <c r="N51" i="1"/>
  <c r="O51" i="1"/>
  <c r="K51" i="1" s="1"/>
  <c r="P51" i="1" s="1"/>
  <c r="K48" i="2" s="1"/>
  <c r="Q51" i="1"/>
  <c r="L48" i="2" s="1"/>
  <c r="J52" i="1"/>
  <c r="M52" i="1" s="1"/>
  <c r="L52" i="1"/>
  <c r="J49" i="2" s="1"/>
  <c r="N52" i="1"/>
  <c r="O52" i="1"/>
  <c r="K52" i="1" s="1"/>
  <c r="P52" i="1" s="1"/>
  <c r="K49" i="2" s="1"/>
  <c r="Q52" i="1"/>
  <c r="L49" i="2" s="1"/>
  <c r="J53" i="1"/>
  <c r="M53" i="1" s="1"/>
  <c r="L53" i="1"/>
  <c r="J50" i="2" s="1"/>
  <c r="N53" i="1"/>
  <c r="O53" i="1"/>
  <c r="K53" i="1" s="1"/>
  <c r="P53" i="1" s="1"/>
  <c r="K50" i="2" s="1"/>
  <c r="Q53" i="1"/>
  <c r="L50" i="2" s="1"/>
  <c r="J54" i="1"/>
  <c r="M54" i="1" s="1"/>
  <c r="L54" i="1"/>
  <c r="J51" i="2" s="1"/>
  <c r="N54" i="1"/>
  <c r="O54" i="1"/>
  <c r="K54" i="1" s="1"/>
  <c r="P54" i="1" s="1"/>
  <c r="K51" i="2" s="1"/>
  <c r="Q54" i="1"/>
  <c r="L51" i="2" s="1"/>
  <c r="J55" i="1"/>
  <c r="M55" i="1" s="1"/>
  <c r="L55" i="1"/>
  <c r="J52" i="2" s="1"/>
  <c r="N55" i="1"/>
  <c r="O55" i="1"/>
  <c r="K55" i="1" s="1"/>
  <c r="P55" i="1" s="1"/>
  <c r="K52" i="2" s="1"/>
  <c r="Q55" i="1"/>
  <c r="L52" i="2" s="1"/>
  <c r="J56" i="1"/>
  <c r="M56" i="1" s="1"/>
  <c r="L56" i="1"/>
  <c r="J53" i="2" s="1"/>
  <c r="N56" i="1"/>
  <c r="O56" i="1"/>
  <c r="K56" i="1" s="1"/>
  <c r="P56" i="1" s="1"/>
  <c r="K53" i="2" s="1"/>
  <c r="Q56" i="1"/>
  <c r="L53" i="2" s="1"/>
  <c r="J57" i="1"/>
  <c r="M57" i="1" s="1"/>
  <c r="L57" i="1"/>
  <c r="J54" i="2" s="1"/>
  <c r="N57" i="1"/>
  <c r="O57" i="1"/>
  <c r="K57" i="1" s="1"/>
  <c r="P57" i="1" s="1"/>
  <c r="K54" i="2" s="1"/>
  <c r="Q57" i="1"/>
  <c r="L54" i="2" s="1"/>
  <c r="J58" i="1"/>
  <c r="M58" i="1" s="1"/>
  <c r="N58" i="1" s="1"/>
  <c r="L58" i="1"/>
  <c r="J55" i="2" s="1"/>
  <c r="Q58" i="1"/>
  <c r="L55" i="2" s="1"/>
  <c r="X58" i="1"/>
  <c r="J59" i="1"/>
  <c r="M59" i="1" s="1"/>
  <c r="L59" i="1"/>
  <c r="J56" i="2" s="1"/>
  <c r="N59" i="1"/>
  <c r="O59" i="1"/>
  <c r="K59" i="1" s="1"/>
  <c r="P59" i="1" s="1"/>
  <c r="K56" i="2" s="1"/>
  <c r="Q59" i="1"/>
  <c r="L56" i="2" s="1"/>
  <c r="J60" i="1"/>
  <c r="M60" i="1" s="1"/>
  <c r="L60" i="1"/>
  <c r="J57" i="2" s="1"/>
  <c r="N60" i="1"/>
  <c r="O60" i="1"/>
  <c r="K60" i="1" s="1"/>
  <c r="P60" i="1" s="1"/>
  <c r="K57" i="2" s="1"/>
  <c r="Q60" i="1"/>
  <c r="L57" i="2" s="1"/>
  <c r="J61" i="1"/>
  <c r="M61" i="1" s="1"/>
  <c r="L61" i="1"/>
  <c r="J58" i="2" s="1"/>
  <c r="N61" i="1"/>
  <c r="O61" i="1"/>
  <c r="K61" i="1" s="1"/>
  <c r="P61" i="1" s="1"/>
  <c r="K58" i="2" s="1"/>
  <c r="Q61" i="1"/>
  <c r="L58" i="2" s="1"/>
  <c r="J62" i="1"/>
  <c r="M62" i="1" s="1"/>
  <c r="L62" i="1"/>
  <c r="J59" i="2" s="1"/>
  <c r="N62" i="1"/>
  <c r="O62" i="1"/>
  <c r="K62" i="1" s="1"/>
  <c r="P62" i="1" s="1"/>
  <c r="K59" i="2" s="1"/>
  <c r="Q62" i="1"/>
  <c r="L59" i="2" s="1"/>
  <c r="J63" i="1"/>
  <c r="M63" i="1" s="1"/>
  <c r="N63" i="1" s="1"/>
  <c r="L63" i="1"/>
  <c r="J60" i="2" s="1"/>
  <c r="J64" i="1"/>
  <c r="M64" i="1" s="1"/>
  <c r="N64" i="1" s="1"/>
  <c r="L64" i="1"/>
  <c r="J61" i="2" s="1"/>
  <c r="J65" i="1"/>
  <c r="M65" i="1" s="1"/>
  <c r="L65" i="1"/>
  <c r="J62" i="2" s="1"/>
  <c r="N65" i="1"/>
  <c r="J66" i="1"/>
  <c r="M66" i="1" s="1"/>
  <c r="N66" i="1" s="1"/>
  <c r="L66" i="1"/>
  <c r="J63" i="2" s="1"/>
  <c r="J67" i="1"/>
  <c r="M67" i="1" s="1"/>
  <c r="L67" i="1"/>
  <c r="J64" i="2" s="1"/>
  <c r="N67" i="1"/>
  <c r="J68" i="1"/>
  <c r="M68" i="1" s="1"/>
  <c r="L68" i="1"/>
  <c r="J65" i="2" s="1"/>
  <c r="N68" i="1"/>
  <c r="G46" i="1"/>
  <c r="F43" i="2" s="1"/>
  <c r="G47" i="1"/>
  <c r="F44" i="2" s="1"/>
  <c r="G48" i="1"/>
  <c r="F45" i="2" s="1"/>
  <c r="G49" i="1"/>
  <c r="F46" i="2" s="1"/>
  <c r="G50" i="1"/>
  <c r="F47" i="2" s="1"/>
  <c r="G51" i="1"/>
  <c r="F48" i="2" s="1"/>
  <c r="G52" i="1"/>
  <c r="F49" i="2" s="1"/>
  <c r="G53" i="1"/>
  <c r="F50" i="2" s="1"/>
  <c r="G54" i="1"/>
  <c r="F51" i="2" s="1"/>
  <c r="G55" i="1"/>
  <c r="F52" i="2" s="1"/>
  <c r="G56" i="1"/>
  <c r="F53" i="2" s="1"/>
  <c r="G57" i="1"/>
  <c r="F54" i="2" s="1"/>
  <c r="G58" i="1"/>
  <c r="F55" i="2" s="1"/>
  <c r="G59" i="1"/>
  <c r="F56" i="2" s="1"/>
  <c r="G60" i="1"/>
  <c r="F57" i="2" s="1"/>
  <c r="G61" i="1"/>
  <c r="F58" i="2" s="1"/>
  <c r="G62" i="1"/>
  <c r="F59" i="2" s="1"/>
  <c r="G63" i="1"/>
  <c r="F60" i="2" s="1"/>
  <c r="G64" i="1"/>
  <c r="F61" i="2" s="1"/>
  <c r="G65" i="1"/>
  <c r="F62" i="2" s="1"/>
  <c r="G66" i="1"/>
  <c r="F63" i="2" s="1"/>
  <c r="G67" i="1"/>
  <c r="F64" i="2" s="1"/>
  <c r="G68" i="1"/>
  <c r="F65" i="2" s="1"/>
  <c r="F46" i="1"/>
  <c r="E43" i="2" s="1"/>
  <c r="F47" i="1"/>
  <c r="E44" i="2" s="1"/>
  <c r="F48" i="1"/>
  <c r="E45" i="2" s="1"/>
  <c r="F49" i="1"/>
  <c r="E46" i="2" s="1"/>
  <c r="F50" i="1"/>
  <c r="E47" i="2" s="1"/>
  <c r="F51" i="1"/>
  <c r="E48" i="2" s="1"/>
  <c r="F52" i="1"/>
  <c r="E49" i="2" s="1"/>
  <c r="F53" i="1"/>
  <c r="E50" i="2" s="1"/>
  <c r="F54" i="1"/>
  <c r="E51" i="2" s="1"/>
  <c r="F55" i="1"/>
  <c r="E52" i="2" s="1"/>
  <c r="F56" i="1"/>
  <c r="E53" i="2" s="1"/>
  <c r="F57" i="1"/>
  <c r="E54" i="2" s="1"/>
  <c r="F58" i="1"/>
  <c r="E55" i="2" s="1"/>
  <c r="F59" i="1"/>
  <c r="E56" i="2" s="1"/>
  <c r="F60" i="1"/>
  <c r="E57" i="2" s="1"/>
  <c r="F61" i="1"/>
  <c r="E58" i="2" s="1"/>
  <c r="F62" i="1"/>
  <c r="E59" i="2" s="1"/>
  <c r="F63" i="1"/>
  <c r="F64" i="1"/>
  <c r="F65" i="1"/>
  <c r="AB65" i="1" s="1"/>
  <c r="F66" i="1"/>
  <c r="AB66" i="1" s="1"/>
  <c r="F67" i="1"/>
  <c r="F68" i="1"/>
  <c r="E65" i="2" s="1"/>
  <c r="E46" i="1"/>
  <c r="E47" i="1"/>
  <c r="E48" i="1"/>
  <c r="E49" i="1"/>
  <c r="E50" i="1"/>
  <c r="E51" i="1"/>
  <c r="E52" i="1"/>
  <c r="E53" i="1"/>
  <c r="E54" i="1"/>
  <c r="E55" i="1"/>
  <c r="E56" i="1"/>
  <c r="E57" i="1"/>
  <c r="E58" i="1"/>
  <c r="E59" i="1"/>
  <c r="E60" i="1"/>
  <c r="E61" i="1"/>
  <c r="E62" i="1"/>
  <c r="E63" i="1"/>
  <c r="E64" i="1"/>
  <c r="E65" i="1"/>
  <c r="E66" i="1"/>
  <c r="E67" i="1"/>
  <c r="E68" i="1"/>
  <c r="B46" i="1"/>
  <c r="B47" i="1"/>
  <c r="B48" i="1"/>
  <c r="B49" i="1"/>
  <c r="B50" i="1"/>
  <c r="B51" i="1"/>
  <c r="B52" i="1"/>
  <c r="B53" i="1"/>
  <c r="B54" i="1"/>
  <c r="B55" i="1"/>
  <c r="B56" i="1"/>
  <c r="B57" i="1"/>
  <c r="B58" i="1"/>
  <c r="B59" i="1"/>
  <c r="B60" i="1"/>
  <c r="B61" i="1"/>
  <c r="B62" i="1"/>
  <c r="B63" i="1"/>
  <c r="B64" i="1"/>
  <c r="B65" i="1"/>
  <c r="B66" i="1"/>
  <c r="B67" i="1"/>
  <c r="B68" i="1"/>
  <c r="I19" i="1"/>
  <c r="J19" i="1" s="1"/>
  <c r="K19" i="1"/>
  <c r="I18" i="2" s="1"/>
  <c r="N19" i="1"/>
  <c r="O19" i="1" s="1"/>
  <c r="Q19" i="1"/>
  <c r="S19" i="1"/>
  <c r="K18" i="2" s="1"/>
  <c r="I20" i="1"/>
  <c r="H19" i="2" s="1"/>
  <c r="K20" i="1"/>
  <c r="I19" i="2" s="1"/>
  <c r="N20" i="1"/>
  <c r="O20" i="1" s="1"/>
  <c r="Q20" i="1"/>
  <c r="S20" i="1"/>
  <c r="K19" i="2" s="1"/>
  <c r="I21" i="1"/>
  <c r="H20" i="2" s="1"/>
  <c r="K21" i="1"/>
  <c r="L21" i="1" s="1"/>
  <c r="I22" i="1"/>
  <c r="H21" i="2" s="1"/>
  <c r="K22" i="1"/>
  <c r="I21" i="2" s="1"/>
  <c r="I23" i="1"/>
  <c r="J23" i="1" s="1"/>
  <c r="K23" i="1"/>
  <c r="I22" i="2" s="1"/>
  <c r="I24" i="1"/>
  <c r="H23" i="2" s="1"/>
  <c r="K24" i="1"/>
  <c r="L24" i="1" s="1"/>
  <c r="J23" i="2" s="1"/>
  <c r="I25" i="1"/>
  <c r="H24" i="2" s="1"/>
  <c r="K25" i="1"/>
  <c r="L25" i="1" s="1"/>
  <c r="J24" i="2" s="1"/>
  <c r="N25" i="1"/>
  <c r="O25" i="1" s="1"/>
  <c r="Q25" i="1"/>
  <c r="S25" i="1"/>
  <c r="K24" i="2" s="1"/>
  <c r="I26" i="1"/>
  <c r="J26" i="1" s="1"/>
  <c r="K26" i="1"/>
  <c r="L26" i="1" s="1"/>
  <c r="J25" i="2" s="1"/>
  <c r="N26" i="1"/>
  <c r="O26" i="1" s="1"/>
  <c r="Q26" i="1"/>
  <c r="S26" i="1"/>
  <c r="K25" i="2" s="1"/>
  <c r="I27" i="1"/>
  <c r="J27" i="1" s="1"/>
  <c r="K27" i="1"/>
  <c r="I26" i="2" s="1"/>
  <c r="N27" i="1"/>
  <c r="O27" i="1" s="1"/>
  <c r="Q27" i="1"/>
  <c r="S27" i="1"/>
  <c r="K26" i="2" s="1"/>
  <c r="I28" i="1"/>
  <c r="H27" i="2" s="1"/>
  <c r="K28" i="1"/>
  <c r="L28" i="1" s="1"/>
  <c r="I29" i="1"/>
  <c r="H28" i="2" s="1"/>
  <c r="K29" i="1"/>
  <c r="I28" i="2" s="1"/>
  <c r="N29" i="1"/>
  <c r="O29" i="1" s="1"/>
  <c r="Q29" i="1"/>
  <c r="S29" i="1"/>
  <c r="K28" i="2" s="1"/>
  <c r="I30" i="1"/>
  <c r="J30" i="1" s="1"/>
  <c r="K30" i="1"/>
  <c r="I29" i="2" s="1"/>
  <c r="N30" i="1"/>
  <c r="O30" i="1" s="1"/>
  <c r="Q30" i="1"/>
  <c r="S30" i="1"/>
  <c r="K29" i="2" s="1"/>
  <c r="I31" i="1"/>
  <c r="H30" i="2" s="1"/>
  <c r="K31" i="1"/>
  <c r="L31" i="1" s="1"/>
  <c r="J30" i="2" s="1"/>
  <c r="Q31" i="1"/>
  <c r="I32" i="1"/>
  <c r="H31" i="2" s="1"/>
  <c r="K32" i="1"/>
  <c r="L32" i="1" s="1"/>
  <c r="J31" i="2" s="1"/>
  <c r="I33" i="1"/>
  <c r="J33" i="1" s="1"/>
  <c r="K33" i="1"/>
  <c r="L33" i="1" s="1"/>
  <c r="J32" i="2" s="1"/>
  <c r="X33" i="1"/>
  <c r="I34" i="1"/>
  <c r="J34" i="1" s="1"/>
  <c r="K34" i="1"/>
  <c r="I33" i="2" s="1"/>
  <c r="X34" i="1"/>
  <c r="I35" i="1"/>
  <c r="J35" i="1" s="1"/>
  <c r="K35" i="1"/>
  <c r="I34" i="2" s="1"/>
  <c r="I36" i="1"/>
  <c r="H35" i="2" s="1"/>
  <c r="K36" i="1"/>
  <c r="L36" i="1" s="1"/>
  <c r="J35" i="2" s="1"/>
  <c r="I37" i="1"/>
  <c r="H36" i="2" s="1"/>
  <c r="K37" i="1"/>
  <c r="I36" i="2" s="1"/>
  <c r="N37" i="1"/>
  <c r="O37" i="1" s="1"/>
  <c r="Q37" i="1"/>
  <c r="S37" i="1"/>
  <c r="K36" i="2" s="1"/>
  <c r="I38" i="1"/>
  <c r="J38" i="1" s="1"/>
  <c r="K38" i="1"/>
  <c r="I37" i="2" s="1"/>
  <c r="N38" i="1"/>
  <c r="O38" i="1" s="1"/>
  <c r="Q38" i="1"/>
  <c r="S38" i="1"/>
  <c r="K37" i="2" s="1"/>
  <c r="I39" i="1"/>
  <c r="H38" i="2" s="1"/>
  <c r="K39" i="1"/>
  <c r="L39" i="1" s="1"/>
  <c r="J38" i="2" s="1"/>
  <c r="N39" i="1"/>
  <c r="O39" i="1" s="1"/>
  <c r="Q39" i="1"/>
  <c r="S39" i="1"/>
  <c r="K38" i="2" s="1"/>
  <c r="I40" i="1"/>
  <c r="H39" i="2" s="1"/>
  <c r="K40" i="1"/>
  <c r="L40" i="1" s="1"/>
  <c r="J39" i="2" s="1"/>
  <c r="N40" i="1"/>
  <c r="O40" i="1" s="1"/>
  <c r="Q40" i="1"/>
  <c r="S40" i="1"/>
  <c r="K39" i="2" s="1"/>
  <c r="G19" i="1"/>
  <c r="F18" i="2" s="1"/>
  <c r="G20" i="1"/>
  <c r="F19" i="2" s="1"/>
  <c r="G21" i="1"/>
  <c r="F20" i="2" s="1"/>
  <c r="G22" i="1"/>
  <c r="F21" i="2" s="1"/>
  <c r="G23" i="1"/>
  <c r="F22" i="2" s="1"/>
  <c r="G24" i="1"/>
  <c r="F23" i="2" s="1"/>
  <c r="G25" i="1"/>
  <c r="F24" i="2" s="1"/>
  <c r="G26" i="1"/>
  <c r="F25" i="2" s="1"/>
  <c r="G27" i="1"/>
  <c r="F26" i="2" s="1"/>
  <c r="G28" i="1"/>
  <c r="F27" i="2" s="1"/>
  <c r="G29" i="1"/>
  <c r="F28" i="2" s="1"/>
  <c r="G30" i="1"/>
  <c r="F29" i="2" s="1"/>
  <c r="G31" i="1"/>
  <c r="F30" i="2" s="1"/>
  <c r="G32" i="1"/>
  <c r="F31" i="2" s="1"/>
  <c r="G33" i="1"/>
  <c r="F32" i="2" s="1"/>
  <c r="G34" i="1"/>
  <c r="F33" i="2" s="1"/>
  <c r="G35" i="1"/>
  <c r="F34" i="2" s="1"/>
  <c r="G36" i="1"/>
  <c r="F35" i="2" s="1"/>
  <c r="G37" i="1"/>
  <c r="F36" i="2" s="1"/>
  <c r="G38" i="1"/>
  <c r="F37" i="2" s="1"/>
  <c r="G39" i="1"/>
  <c r="F38" i="2" s="1"/>
  <c r="G40" i="1"/>
  <c r="F39" i="2" s="1"/>
  <c r="F19" i="1"/>
  <c r="E18" i="2" s="1"/>
  <c r="F20" i="1"/>
  <c r="E19" i="2" s="1"/>
  <c r="F21" i="1"/>
  <c r="E20" i="2" s="1"/>
  <c r="F22" i="1"/>
  <c r="E21" i="2" s="1"/>
  <c r="F23" i="1"/>
  <c r="E22" i="2" s="1"/>
  <c r="F24" i="1"/>
  <c r="E23" i="2" s="1"/>
  <c r="F25" i="1"/>
  <c r="E24" i="2" s="1"/>
  <c r="F26" i="1"/>
  <c r="E25" i="2" s="1"/>
  <c r="F27" i="1"/>
  <c r="E26" i="2" s="1"/>
  <c r="F28" i="1"/>
  <c r="E27" i="2" s="1"/>
  <c r="F29" i="1"/>
  <c r="E28" i="2" s="1"/>
  <c r="F30" i="1"/>
  <c r="E29" i="2" s="1"/>
  <c r="F31" i="1"/>
  <c r="E30" i="2" s="1"/>
  <c r="F32" i="1"/>
  <c r="E31" i="2" s="1"/>
  <c r="F33" i="1"/>
  <c r="E32" i="2" s="1"/>
  <c r="F34" i="1"/>
  <c r="E33" i="2" s="1"/>
  <c r="F35" i="1"/>
  <c r="E34" i="2" s="1"/>
  <c r="F36" i="1"/>
  <c r="E35" i="2" s="1"/>
  <c r="F37" i="1"/>
  <c r="E36" i="2" s="1"/>
  <c r="F38" i="1"/>
  <c r="E37" i="2" s="1"/>
  <c r="F39" i="1"/>
  <c r="E38" i="2" s="1"/>
  <c r="F40" i="1"/>
  <c r="E39" i="2" s="1"/>
  <c r="E19" i="1"/>
  <c r="D18" i="2" s="1"/>
  <c r="E20" i="1"/>
  <c r="D19" i="2" s="1"/>
  <c r="E21" i="1"/>
  <c r="D20" i="2" s="1"/>
  <c r="E22" i="1"/>
  <c r="D21" i="2" s="1"/>
  <c r="E23" i="1"/>
  <c r="D22" i="2" s="1"/>
  <c r="E24" i="1"/>
  <c r="D23" i="2" s="1"/>
  <c r="E25" i="1"/>
  <c r="D24" i="2" s="1"/>
  <c r="E26" i="1"/>
  <c r="D25" i="2" s="1"/>
  <c r="E27" i="1"/>
  <c r="D26" i="2" s="1"/>
  <c r="E28" i="1"/>
  <c r="D27" i="2" s="1"/>
  <c r="E29" i="1"/>
  <c r="D28" i="2" s="1"/>
  <c r="E30" i="1"/>
  <c r="D29" i="2" s="1"/>
  <c r="E31" i="1"/>
  <c r="D30" i="2" s="1"/>
  <c r="E32" i="1"/>
  <c r="D31" i="2" s="1"/>
  <c r="E33" i="1"/>
  <c r="D32" i="2" s="1"/>
  <c r="E34" i="1"/>
  <c r="D33" i="2" s="1"/>
  <c r="E35" i="1"/>
  <c r="D34" i="2" s="1"/>
  <c r="E36" i="1"/>
  <c r="D35" i="2" s="1"/>
  <c r="E37" i="1"/>
  <c r="D36" i="2" s="1"/>
  <c r="E38" i="1"/>
  <c r="D37" i="2" s="1"/>
  <c r="E39" i="1"/>
  <c r="D38" i="2" s="1"/>
  <c r="E40" i="1"/>
  <c r="D39" i="2" s="1"/>
  <c r="B19" i="1"/>
  <c r="B20" i="1"/>
  <c r="B21" i="1"/>
  <c r="B22" i="1"/>
  <c r="B23" i="1"/>
  <c r="B24" i="1"/>
  <c r="B25" i="1"/>
  <c r="B26" i="1"/>
  <c r="B27" i="1"/>
  <c r="B28" i="1"/>
  <c r="B29" i="1"/>
  <c r="B30" i="1"/>
  <c r="B31" i="1"/>
  <c r="B32" i="1"/>
  <c r="B33" i="1"/>
  <c r="B34" i="1"/>
  <c r="B35" i="1"/>
  <c r="B36" i="1"/>
  <c r="B37" i="1"/>
  <c r="B38" i="1"/>
  <c r="B39" i="1"/>
  <c r="B40" i="1"/>
  <c r="B48" i="3"/>
  <c r="B49" i="3"/>
  <c r="C48" i="3"/>
  <c r="C49" i="3"/>
  <c r="D48" i="3"/>
  <c r="D49" i="3"/>
  <c r="E48" i="3" a="1"/>
  <c r="E49" i="3" a="1"/>
  <c r="N48" i="3"/>
  <c r="N49" i="3"/>
  <c r="P48" i="3"/>
  <c r="P49" i="3"/>
  <c r="M48" i="3" a="1"/>
  <c r="N68" i="5"/>
  <c r="Q68" i="5"/>
  <c r="J27" i="2" l="1"/>
  <c r="J20" i="2"/>
  <c r="D61" i="2"/>
  <c r="D49" i="2"/>
  <c r="D52" i="1" a="1"/>
  <c r="AB63" i="1"/>
  <c r="AC63" i="1" s="1"/>
  <c r="D52" i="2"/>
  <c r="D55" i="1" a="1"/>
  <c r="D60" i="2"/>
  <c r="D48" i="2"/>
  <c r="D51" i="1" a="1"/>
  <c r="D65" i="2"/>
  <c r="D68" i="1" a="1"/>
  <c r="D63" i="2"/>
  <c r="D66" i="1" a="1"/>
  <c r="D62" i="2"/>
  <c r="D65" i="1" a="1"/>
  <c r="D47" i="2"/>
  <c r="D50" i="1" a="1"/>
  <c r="D58" i="2"/>
  <c r="D61" i="1" a="1"/>
  <c r="D46" i="2"/>
  <c r="D49" i="1" a="1"/>
  <c r="D57" i="2"/>
  <c r="D60" i="1" a="1"/>
  <c r="D45" i="2"/>
  <c r="D48" i="1" a="1"/>
  <c r="D50" i="2"/>
  <c r="D53" i="1" a="1"/>
  <c r="D56" i="2"/>
  <c r="D59" i="1" a="1"/>
  <c r="D44" i="2"/>
  <c r="D47" i="1" a="1"/>
  <c r="D51" i="2"/>
  <c r="D54" i="1" a="1"/>
  <c r="D59" i="2"/>
  <c r="D62" i="1" a="1"/>
  <c r="D55" i="2"/>
  <c r="D58" i="1" a="1"/>
  <c r="D43" i="2"/>
  <c r="D46" i="1" a="1"/>
  <c r="D53" i="2"/>
  <c r="D56" i="1" a="1"/>
  <c r="D64" i="2"/>
  <c r="D54" i="2"/>
  <c r="D57" i="1" a="1"/>
  <c r="E61" i="2"/>
  <c r="AB64" i="1"/>
  <c r="AC64" i="1" s="1"/>
  <c r="E64" i="2"/>
  <c r="AB67" i="1"/>
  <c r="AC67" i="1" s="1"/>
  <c r="E63" i="2"/>
  <c r="AC66" i="1"/>
  <c r="E62" i="2"/>
  <c r="AC65" i="1"/>
  <c r="E60" i="2"/>
  <c r="B51" i="2"/>
  <c r="L39" i="2"/>
  <c r="I65" i="2"/>
  <c r="I49" i="2"/>
  <c r="I64" i="2"/>
  <c r="L28" i="2"/>
  <c r="I59" i="2"/>
  <c r="B50" i="2"/>
  <c r="I58" i="2"/>
  <c r="I57" i="2"/>
  <c r="I56" i="2"/>
  <c r="I47" i="2"/>
  <c r="B48" i="2"/>
  <c r="I55" i="2"/>
  <c r="I43" i="2"/>
  <c r="I53" i="2"/>
  <c r="B45" i="2"/>
  <c r="B44" i="2"/>
  <c r="L25" i="2"/>
  <c r="L18" i="2"/>
  <c r="B52" i="2"/>
  <c r="L36" i="2"/>
  <c r="L24" i="2"/>
  <c r="L38" i="2"/>
  <c r="L19" i="2"/>
  <c r="L26" i="2"/>
  <c r="L22" i="1"/>
  <c r="J32" i="1"/>
  <c r="L30" i="1"/>
  <c r="J29" i="2" s="1"/>
  <c r="I61" i="2"/>
  <c r="L38" i="1"/>
  <c r="J37" i="2" s="1"/>
  <c r="K48" i="3" a="1"/>
  <c r="M49" i="3" a="1"/>
  <c r="J39" i="1"/>
  <c r="K49" i="3" a="1"/>
  <c r="I63" i="2"/>
  <c r="B60" i="2"/>
  <c r="L23" i="1"/>
  <c r="J20" i="1"/>
  <c r="J40" i="1"/>
  <c r="L37" i="1"/>
  <c r="J36" i="2" s="1"/>
  <c r="L29" i="1"/>
  <c r="J28" i="2" s="1"/>
  <c r="J49" i="3" a="1"/>
  <c r="L35" i="1"/>
  <c r="J31" i="1"/>
  <c r="L27" i="1"/>
  <c r="J26" i="2" s="1"/>
  <c r="J25" i="1"/>
  <c r="J24" i="1"/>
  <c r="L20" i="1"/>
  <c r="J19" i="2" s="1"/>
  <c r="I39" i="2"/>
  <c r="I31" i="2"/>
  <c r="I24" i="2"/>
  <c r="J48" i="3" a="1"/>
  <c r="J36" i="1"/>
  <c r="L34" i="1"/>
  <c r="J29" i="1"/>
  <c r="J28" i="1"/>
  <c r="J22" i="1"/>
  <c r="J21" i="1"/>
  <c r="L19" i="1"/>
  <c r="J18" i="2" s="1"/>
  <c r="I32" i="2"/>
  <c r="I25" i="2"/>
  <c r="H32" i="2"/>
  <c r="H25" i="2"/>
  <c r="L48" i="3" a="1"/>
  <c r="H33" i="2"/>
  <c r="H18" i="2"/>
  <c r="L49" i="3" a="1"/>
  <c r="J37" i="1"/>
  <c r="I35" i="2"/>
  <c r="H34" i="2"/>
  <c r="I27" i="2"/>
  <c r="H26" i="2"/>
  <c r="I20" i="2"/>
  <c r="I38" i="2"/>
  <c r="H37" i="2"/>
  <c r="I30" i="2"/>
  <c r="H29" i="2"/>
  <c r="I23" i="2"/>
  <c r="H22" i="2"/>
  <c r="L37" i="2"/>
  <c r="L29" i="2"/>
  <c r="B62" i="2"/>
  <c r="B46" i="2"/>
  <c r="B54" i="2"/>
  <c r="D67" i="1" l="1" a="1"/>
  <c r="D63" i="1" a="1"/>
  <c r="D64" i="1" a="1"/>
  <c r="AD63" i="1"/>
  <c r="O64" i="1" s="1"/>
  <c r="J21" i="2"/>
  <c r="J34" i="2"/>
  <c r="J33" i="2"/>
  <c r="J22" i="2"/>
  <c r="O63" i="1" l="1"/>
  <c r="O67" i="1"/>
  <c r="O66" i="1"/>
  <c r="O65" i="1"/>
  <c r="Q62" i="5"/>
  <c r="N62" i="5"/>
  <c r="Q60" i="5"/>
  <c r="N60" i="5"/>
  <c r="Q58" i="5"/>
  <c r="N58" i="5"/>
  <c r="Q56" i="5"/>
  <c r="N56" i="5"/>
  <c r="Q54" i="5"/>
  <c r="N54" i="5"/>
  <c r="K18" i="1" l="1"/>
  <c r="I18" i="1"/>
  <c r="J45" i="1"/>
  <c r="W47" i="1"/>
  <c r="X47" i="1" s="1"/>
  <c r="W48" i="1"/>
  <c r="X48" i="1" s="1"/>
  <c r="W49" i="1"/>
  <c r="X49" i="1" s="1"/>
  <c r="W51" i="1"/>
  <c r="X51" i="1" s="1"/>
  <c r="W52" i="1"/>
  <c r="X52" i="1" s="1"/>
  <c r="W53" i="1"/>
  <c r="X53" i="1" s="1"/>
  <c r="W54" i="1"/>
  <c r="X54" i="1" s="1"/>
  <c r="W55" i="1"/>
  <c r="X55" i="1" s="1"/>
  <c r="W56" i="1"/>
  <c r="X56" i="1" s="1"/>
  <c r="W57" i="1"/>
  <c r="X57" i="1" s="1"/>
  <c r="W59" i="1"/>
  <c r="X59" i="1" s="1"/>
  <c r="W61" i="1"/>
  <c r="X61" i="1" s="1"/>
  <c r="W62" i="1"/>
  <c r="X62" i="1" s="1"/>
  <c r="B31" i="3"/>
  <c r="B32" i="3"/>
  <c r="B33" i="3"/>
  <c r="B34" i="3"/>
  <c r="B35" i="3"/>
  <c r="B36" i="3"/>
  <c r="B37" i="3"/>
  <c r="B38" i="3"/>
  <c r="B39" i="3"/>
  <c r="B40" i="3"/>
  <c r="B41" i="3"/>
  <c r="B42" i="3"/>
  <c r="B43" i="3"/>
  <c r="B44" i="3"/>
  <c r="B45" i="3"/>
  <c r="B46" i="3"/>
  <c r="B47" i="3"/>
  <c r="C31" i="3"/>
  <c r="C32" i="3"/>
  <c r="C33" i="3"/>
  <c r="C34" i="3"/>
  <c r="C35" i="3"/>
  <c r="C36" i="3"/>
  <c r="C37" i="3"/>
  <c r="C38" i="3"/>
  <c r="C39" i="3"/>
  <c r="C40" i="3"/>
  <c r="C41" i="3"/>
  <c r="C42" i="3"/>
  <c r="C43" i="3"/>
  <c r="C44" i="3"/>
  <c r="C45" i="3"/>
  <c r="C46" i="3"/>
  <c r="C47" i="3"/>
  <c r="D31" i="3"/>
  <c r="D32" i="3"/>
  <c r="D33" i="3"/>
  <c r="D34" i="3"/>
  <c r="D35" i="3"/>
  <c r="D36" i="3"/>
  <c r="D37" i="3"/>
  <c r="D38" i="3"/>
  <c r="D39" i="3"/>
  <c r="D40" i="3"/>
  <c r="D41" i="3"/>
  <c r="D42" i="3"/>
  <c r="D43" i="3"/>
  <c r="D44" i="3"/>
  <c r="D45" i="3"/>
  <c r="D46" i="3"/>
  <c r="D47" i="3"/>
  <c r="E31" i="3" a="1"/>
  <c r="E32" i="3" a="1"/>
  <c r="E33" i="3" a="1"/>
  <c r="E34" i="3" a="1"/>
  <c r="E35" i="3" a="1"/>
  <c r="E36" i="3" a="1"/>
  <c r="E37" i="3" a="1"/>
  <c r="E38" i="3" a="1"/>
  <c r="E39" i="3" a="1"/>
  <c r="E40" i="3" a="1"/>
  <c r="E41" i="3" a="1"/>
  <c r="E42" i="3" a="1"/>
  <c r="E43" i="3" a="1"/>
  <c r="E44" i="3" a="1"/>
  <c r="E45" i="3" a="1"/>
  <c r="E46" i="3" a="1"/>
  <c r="E47" i="3" a="1"/>
  <c r="N31" i="3"/>
  <c r="N32" i="3"/>
  <c r="N33" i="3"/>
  <c r="N34" i="3"/>
  <c r="N35" i="3"/>
  <c r="N36" i="3"/>
  <c r="N37" i="3"/>
  <c r="N38" i="3"/>
  <c r="N39" i="3"/>
  <c r="N40" i="3"/>
  <c r="N41" i="3"/>
  <c r="N42" i="3"/>
  <c r="N43" i="3"/>
  <c r="N44" i="3"/>
  <c r="N45" i="3"/>
  <c r="N46" i="3"/>
  <c r="N47" i="3"/>
  <c r="P31" i="3"/>
  <c r="P32" i="3"/>
  <c r="P33" i="3"/>
  <c r="P34" i="3"/>
  <c r="P35" i="3"/>
  <c r="P36" i="3"/>
  <c r="P37" i="3"/>
  <c r="P38" i="3"/>
  <c r="P39" i="3"/>
  <c r="P40" i="3"/>
  <c r="P41" i="3"/>
  <c r="P42" i="3"/>
  <c r="P43" i="3"/>
  <c r="P44" i="3"/>
  <c r="P45" i="3"/>
  <c r="P46" i="3"/>
  <c r="P47" i="3"/>
  <c r="J31" i="3" a="1"/>
  <c r="K32" i="3" a="1"/>
  <c r="K33" i="3" a="1"/>
  <c r="K34" i="3" a="1"/>
  <c r="K35" i="3" a="1"/>
  <c r="K36" i="3" a="1"/>
  <c r="K37" i="3" a="1"/>
  <c r="K38" i="3" a="1"/>
  <c r="L40" i="3" a="1"/>
  <c r="L41" i="3" a="1"/>
  <c r="L42" i="3" a="1"/>
  <c r="J43" i="3" a="1"/>
  <c r="J44" i="3" a="1"/>
  <c r="L45" i="3" a="1"/>
  <c r="L46" i="3" a="1"/>
  <c r="J47" i="3" a="1"/>
  <c r="N64" i="5"/>
  <c r="N65" i="5"/>
  <c r="N66" i="5"/>
  <c r="N67" i="5"/>
  <c r="Q64" i="5"/>
  <c r="Q65" i="5"/>
  <c r="Q66" i="5"/>
  <c r="Q67" i="5"/>
  <c r="N63" i="5"/>
  <c r="Q63" i="5"/>
  <c r="M34" i="3" l="1" a="1"/>
  <c r="K46" i="3" a="1"/>
  <c r="K44" i="3" a="1"/>
  <c r="M46" i="3" a="1"/>
  <c r="J46" i="3" a="1"/>
  <c r="M40" i="3" a="1"/>
  <c r="J34" i="3" a="1"/>
  <c r="M38" i="3" a="1"/>
  <c r="J33" i="3" a="1"/>
  <c r="M37" i="3" a="1"/>
  <c r="M36" i="3" a="1"/>
  <c r="M35" i="3" a="1"/>
  <c r="L35" i="3" a="1"/>
  <c r="L34" i="3" a="1"/>
  <c r="L33" i="3" a="1"/>
  <c r="K47" i="3" a="1"/>
  <c r="M33" i="3" a="1"/>
  <c r="J40" i="3" a="1"/>
  <c r="L47" i="3" a="1"/>
  <c r="J38" i="3" a="1"/>
  <c r="J37" i="3" a="1"/>
  <c r="L44" i="3" a="1"/>
  <c r="J36" i="3" a="1"/>
  <c r="M47" i="3" a="1"/>
  <c r="L36" i="3" a="1"/>
  <c r="J35" i="3" a="1"/>
  <c r="M42" i="3" a="1"/>
  <c r="L38" i="3" a="1"/>
  <c r="J42" i="3" a="1"/>
  <c r="M41" i="3" a="1"/>
  <c r="L37" i="3" a="1"/>
  <c r="K45" i="3" a="1"/>
  <c r="J41" i="3" a="1"/>
  <c r="K41" i="3" a="1"/>
  <c r="L32" i="3" a="1"/>
  <c r="K40" i="3" a="1"/>
  <c r="K42" i="3" a="1"/>
  <c r="K43" i="3" a="1"/>
  <c r="K31" i="3" a="1"/>
  <c r="L31" i="3" a="1"/>
  <c r="M45" i="3" a="1"/>
  <c r="M44" i="3" a="1"/>
  <c r="M32" i="3" a="1"/>
  <c r="J32" i="3" a="1"/>
  <c r="L43" i="3" a="1"/>
  <c r="K39" i="3" a="1"/>
  <c r="J45" i="3" a="1"/>
  <c r="M43" i="3" a="1"/>
  <c r="M31" i="3" a="1"/>
  <c r="M39" i="3" l="1" a="1"/>
  <c r="J39" i="3" a="1"/>
  <c r="L39" i="3" a="1"/>
  <c r="I72" i="1"/>
  <c r="D76" i="2"/>
  <c r="B28" i="3"/>
  <c r="B29" i="3"/>
  <c r="B30" i="3"/>
  <c r="C28" i="3"/>
  <c r="C29" i="3"/>
  <c r="C30" i="3"/>
  <c r="D28" i="3"/>
  <c r="D29" i="3"/>
  <c r="D30" i="3"/>
  <c r="E28" i="3" a="1"/>
  <c r="E29" i="3" a="1"/>
  <c r="E30" i="3" a="1"/>
  <c r="N28" i="3"/>
  <c r="N29" i="3"/>
  <c r="N30" i="3"/>
  <c r="P28" i="3"/>
  <c r="P29" i="3"/>
  <c r="P30" i="3"/>
  <c r="L45" i="1" l="1"/>
  <c r="M45" i="1"/>
  <c r="B45" i="1"/>
  <c r="L18" i="1"/>
  <c r="J18" i="1"/>
  <c r="J41" i="1" s="1"/>
  <c r="AE3" i="5"/>
  <c r="Q2" i="5"/>
  <c r="Q3" i="5"/>
  <c r="Q8" i="5"/>
  <c r="Q9" i="5"/>
  <c r="Q10" i="5"/>
  <c r="Q11" i="5"/>
  <c r="Q12" i="5"/>
  <c r="Q13" i="5"/>
  <c r="Q14" i="5"/>
  <c r="Q15" i="5"/>
  <c r="Q16" i="5"/>
  <c r="Q17" i="5"/>
  <c r="Q18" i="5"/>
  <c r="Q19" i="5"/>
  <c r="Q20" i="5"/>
  <c r="Q21" i="5"/>
  <c r="Q22" i="5"/>
  <c r="Q23" i="5"/>
  <c r="Q24" i="5"/>
  <c r="Q25" i="5"/>
  <c r="Q26" i="5"/>
  <c r="Q27" i="5"/>
  <c r="Q28" i="5"/>
  <c r="Q29" i="5"/>
  <c r="Q30" i="5"/>
  <c r="Q31" i="5"/>
  <c r="Q32" i="5"/>
  <c r="Q33" i="5"/>
  <c r="Q34" i="5"/>
  <c r="Q35" i="5"/>
  <c r="Q36" i="5"/>
  <c r="Q37" i="5"/>
  <c r="Q38" i="5"/>
  <c r="Q39" i="5"/>
  <c r="Q40" i="5"/>
  <c r="Q41" i="5"/>
  <c r="Q42" i="5"/>
  <c r="Q43" i="5"/>
  <c r="Q44" i="5"/>
  <c r="Q45" i="5"/>
  <c r="Q46" i="5"/>
  <c r="Q47" i="5"/>
  <c r="Q48" i="5"/>
  <c r="Q49" i="5"/>
  <c r="Q50" i="5"/>
  <c r="Q51" i="5"/>
  <c r="Q52" i="5"/>
  <c r="Q53" i="5"/>
  <c r="Q55" i="5"/>
  <c r="Q57" i="5"/>
  <c r="Q59" i="5"/>
  <c r="Q61" i="5"/>
  <c r="N59" i="5"/>
  <c r="N61" i="5"/>
  <c r="N55" i="5"/>
  <c r="N57" i="5"/>
  <c r="N52" i="5"/>
  <c r="N53" i="5"/>
  <c r="N50" i="5"/>
  <c r="N51" i="5"/>
  <c r="N47" i="5"/>
  <c r="N48" i="5"/>
  <c r="N49" i="5"/>
  <c r="N2" i="5"/>
  <c r="N3" i="5"/>
  <c r="N8" i="5"/>
  <c r="N9" i="5"/>
  <c r="N10" i="5"/>
  <c r="N11" i="5"/>
  <c r="N12" i="5"/>
  <c r="N13" i="5"/>
  <c r="N14" i="5"/>
  <c r="N15" i="5"/>
  <c r="N16" i="5"/>
  <c r="N17" i="5"/>
  <c r="N18" i="5"/>
  <c r="N19" i="5"/>
  <c r="N20" i="5"/>
  <c r="N21" i="5"/>
  <c r="N22" i="5"/>
  <c r="N23" i="5"/>
  <c r="N24" i="5"/>
  <c r="N25" i="5"/>
  <c r="N26" i="5"/>
  <c r="N27" i="5"/>
  <c r="N28" i="5"/>
  <c r="N29" i="5"/>
  <c r="N30" i="5"/>
  <c r="N31" i="5"/>
  <c r="N32" i="5"/>
  <c r="N33" i="5"/>
  <c r="N34" i="5"/>
  <c r="N35" i="5"/>
  <c r="N36" i="5"/>
  <c r="N37" i="5"/>
  <c r="N38" i="5"/>
  <c r="N39" i="5"/>
  <c r="N40" i="5"/>
  <c r="N41" i="5"/>
  <c r="N42" i="5"/>
  <c r="N43" i="5"/>
  <c r="N44" i="5"/>
  <c r="N45" i="5"/>
  <c r="N46" i="5"/>
  <c r="L41" i="1" l="1"/>
  <c r="T15" i="1" a="1"/>
  <c r="T17" i="1" a="1"/>
  <c r="T16" i="1" a="1"/>
  <c r="G52" i="3" a="1"/>
  <c r="H51" i="3" a="1"/>
  <c r="G50" i="3" a="1"/>
  <c r="I51" i="3" a="1"/>
  <c r="F52" i="3" a="1"/>
  <c r="I52" i="3" a="1"/>
  <c r="H50" i="3" a="1"/>
  <c r="H52" i="3" a="1"/>
  <c r="G51" i="3" a="1"/>
  <c r="I50" i="3" a="1"/>
  <c r="F50" i="3" a="1"/>
  <c r="F51" i="3" a="1"/>
  <c r="T26" i="1" a="1"/>
  <c r="T18" i="1" a="1"/>
  <c r="T51" i="1" a="1"/>
  <c r="T62" i="1" a="1"/>
  <c r="T22" i="1" a="1"/>
  <c r="T27" i="1" a="1"/>
  <c r="T37" i="1" a="1"/>
  <c r="T46" i="1" a="1"/>
  <c r="T57" i="1" a="1"/>
  <c r="T68" i="1" a="1"/>
  <c r="T59" i="1" a="1"/>
  <c r="T33" i="1" a="1"/>
  <c r="T38" i="1" a="1"/>
  <c r="T24" i="1" a="1"/>
  <c r="T39" i="1" a="1"/>
  <c r="T48" i="1" a="1"/>
  <c r="T29" i="1" a="1"/>
  <c r="T25" i="1" a="1"/>
  <c r="T40" i="1" a="1"/>
  <c r="T47" i="1" a="1"/>
  <c r="T52" i="1" a="1"/>
  <c r="T58" i="1" a="1"/>
  <c r="T64" i="1" a="1"/>
  <c r="T53" i="1" a="1"/>
  <c r="T19" i="1" a="1"/>
  <c r="T34" i="1" a="1"/>
  <c r="T49" i="1" a="1"/>
  <c r="T54" i="1" a="1"/>
  <c r="T60" i="1" a="1"/>
  <c r="T20" i="1" a="1"/>
  <c r="T30" i="1" a="1"/>
  <c r="T55" i="1" a="1"/>
  <c r="T61" i="1" a="1"/>
  <c r="T66" i="1" a="1"/>
  <c r="T50" i="1" a="1"/>
  <c r="T31" i="1" a="1"/>
  <c r="T36" i="1" a="1"/>
  <c r="T56" i="1" a="1"/>
  <c r="T67" i="1" a="1"/>
  <c r="F6" i="3" a="1"/>
  <c r="G48" i="3" a="1"/>
  <c r="G49" i="3" a="1"/>
  <c r="H49" i="3" a="1"/>
  <c r="I48" i="3" a="1"/>
  <c r="I49" i="3" a="1"/>
  <c r="H48" i="3" a="1"/>
  <c r="F48" i="3" a="1"/>
  <c r="F49" i="3" a="1"/>
  <c r="F39" i="3" a="1"/>
  <c r="G31" i="3" a="1"/>
  <c r="G43" i="3" a="1"/>
  <c r="H35" i="3" a="1"/>
  <c r="H47" i="3" a="1"/>
  <c r="I39" i="3" a="1"/>
  <c r="F41" i="3" a="1"/>
  <c r="G33" i="3" a="1"/>
  <c r="G45" i="3" a="1"/>
  <c r="H37" i="3" a="1"/>
  <c r="I41" i="3" a="1"/>
  <c r="F42" i="3" a="1"/>
  <c r="G46" i="3" a="1"/>
  <c r="F31" i="3" a="1"/>
  <c r="G47" i="3" a="1"/>
  <c r="I31" i="3" a="1"/>
  <c r="H44" i="3" a="1"/>
  <c r="F40" i="3" a="1"/>
  <c r="G32" i="3" a="1"/>
  <c r="G44" i="3" a="1"/>
  <c r="H36" i="3" a="1"/>
  <c r="I40" i="3" a="1"/>
  <c r="H39" i="3" a="1"/>
  <c r="G38" i="3" a="1"/>
  <c r="I34" i="3" a="1"/>
  <c r="F43" i="3" a="1"/>
  <c r="F34" i="3" a="1"/>
  <c r="G39" i="3" a="1"/>
  <c r="F36" i="3" a="1"/>
  <c r="G40" i="3" a="1"/>
  <c r="G35" i="3" a="1"/>
  <c r="I43" i="3" a="1"/>
  <c r="F46" i="3" a="1"/>
  <c r="H42" i="3" a="1"/>
  <c r="I46" i="3" a="1"/>
  <c r="H43" i="3" a="1"/>
  <c r="H32" i="3" a="1"/>
  <c r="F35" i="3" a="1"/>
  <c r="I35" i="3" a="1"/>
  <c r="I36" i="3" a="1"/>
  <c r="F32" i="3" a="1"/>
  <c r="F44" i="3" a="1"/>
  <c r="G36" i="3" a="1"/>
  <c r="H40" i="3" a="1"/>
  <c r="I32" i="3" a="1"/>
  <c r="I44" i="3" a="1"/>
  <c r="F33" i="3" a="1"/>
  <c r="F45" i="3" a="1"/>
  <c r="G37" i="3" a="1"/>
  <c r="H41" i="3" a="1"/>
  <c r="I33" i="3" a="1"/>
  <c r="I45" i="3" a="1"/>
  <c r="F47" i="3" a="1"/>
  <c r="I47" i="3" a="1"/>
  <c r="F37" i="3" a="1"/>
  <c r="G41" i="3" a="1"/>
  <c r="H33" i="3" a="1"/>
  <c r="H45" i="3" a="1"/>
  <c r="I37" i="3" a="1"/>
  <c r="F38" i="3" a="1"/>
  <c r="G42" i="3" a="1"/>
  <c r="H34" i="3" a="1"/>
  <c r="H46" i="3" a="1"/>
  <c r="I38" i="3" a="1"/>
  <c r="G34" i="3" a="1"/>
  <c r="H38" i="3" a="1"/>
  <c r="I42" i="3" a="1"/>
  <c r="W60" i="1"/>
  <c r="X60" i="1" s="1"/>
  <c r="H31" i="3" a="1"/>
  <c r="L30" i="3" a="1"/>
  <c r="J30" i="3" a="1"/>
  <c r="K30" i="3" a="1"/>
  <c r="M30" i="3" a="1"/>
  <c r="L29" i="3" a="1"/>
  <c r="M29" i="3" a="1"/>
  <c r="J29" i="3" a="1"/>
  <c r="K29" i="3" a="1"/>
  <c r="D79" i="2"/>
  <c r="D80" i="2"/>
  <c r="P40" i="1" l="1"/>
  <c r="R40" i="1" s="1"/>
  <c r="P39" i="1"/>
  <c r="R39" i="1" s="1"/>
  <c r="P38" i="1"/>
  <c r="R38" i="1" s="1"/>
  <c r="P30" i="1"/>
  <c r="R30" i="1" s="1"/>
  <c r="P26" i="1"/>
  <c r="R26" i="1" s="1"/>
  <c r="P17" i="1"/>
  <c r="R17" i="1" s="1"/>
  <c r="P37" i="1"/>
  <c r="R37" i="1" s="1"/>
  <c r="P29" i="1"/>
  <c r="R29" i="1" s="1"/>
  <c r="P20" i="1"/>
  <c r="R20" i="1" s="1"/>
  <c r="P27" i="1"/>
  <c r="R27" i="1" s="1"/>
  <c r="P19" i="1"/>
  <c r="R19" i="1" s="1"/>
  <c r="P25" i="1"/>
  <c r="R25" i="1" s="1"/>
  <c r="T65" i="1" a="1"/>
  <c r="Q33" i="1"/>
  <c r="Q32" i="1"/>
  <c r="Q35" i="1"/>
  <c r="Q34" i="1"/>
  <c r="K67" i="1"/>
  <c r="P67" i="1" s="1"/>
  <c r="T35" i="1" a="1"/>
  <c r="T32" i="1" a="1"/>
  <c r="T63" i="1" a="1"/>
  <c r="W65" i="1"/>
  <c r="X65" i="1" s="1"/>
  <c r="E2" i="3" a="1"/>
  <c r="E3" i="3" a="1"/>
  <c r="E4" i="3" a="1"/>
  <c r="E5" i="3" a="1"/>
  <c r="E6" i="3" a="1"/>
  <c r="E7" i="3" a="1"/>
  <c r="E8" i="3" a="1"/>
  <c r="E9" i="3" a="1"/>
  <c r="E10" i="3" a="1"/>
  <c r="E11" i="3" a="1"/>
  <c r="E12" i="3" a="1"/>
  <c r="E13" i="3" a="1"/>
  <c r="E14" i="3" a="1"/>
  <c r="E15" i="3" a="1"/>
  <c r="E16" i="3" a="1"/>
  <c r="E17" i="3" a="1"/>
  <c r="E18" i="3" a="1"/>
  <c r="E19" i="3" a="1"/>
  <c r="E20" i="3" a="1"/>
  <c r="E21" i="3" a="1"/>
  <c r="E22" i="3" a="1"/>
  <c r="E23" i="3" a="1"/>
  <c r="E24" i="3" a="1"/>
  <c r="E25" i="3" a="1"/>
  <c r="E26" i="3" a="1"/>
  <c r="E27" i="3" a="1"/>
  <c r="Q67" i="1" l="1"/>
  <c r="L64" i="2" s="1"/>
  <c r="K64" i="2"/>
  <c r="W67" i="1"/>
  <c r="X67" i="1" s="1"/>
  <c r="Q63" i="1"/>
  <c r="L60" i="2" s="1"/>
  <c r="W66" i="1"/>
  <c r="X66" i="1" s="1"/>
  <c r="K64" i="1"/>
  <c r="P64" i="1" s="1"/>
  <c r="Q64" i="1" s="1"/>
  <c r="L61" i="2" s="1"/>
  <c r="W63" i="1"/>
  <c r="X63" i="1" s="1"/>
  <c r="K28" i="3" a="1"/>
  <c r="L28" i="3" a="1"/>
  <c r="J28" i="3" a="1"/>
  <c r="M28" i="3" a="1"/>
  <c r="I30" i="3" a="1"/>
  <c r="H29" i="3" a="1"/>
  <c r="H30" i="3" a="1"/>
  <c r="G42" i="2"/>
  <c r="G17" i="2"/>
  <c r="B17" i="2" s="1"/>
  <c r="W64" i="1" l="1"/>
  <c r="X64" i="1" s="1"/>
  <c r="K61" i="2"/>
  <c r="I29" i="3" a="1"/>
  <c r="F29" i="3" a="1"/>
  <c r="I28" i="3" a="1"/>
  <c r="F28" i="3" a="1"/>
  <c r="H28" i="3" a="1"/>
  <c r="G2" i="3" a="1"/>
  <c r="G30" i="3" a="1"/>
  <c r="F30" i="3" a="1"/>
  <c r="G29" i="3" a="1"/>
  <c r="G28" i="3" a="1"/>
  <c r="I42" i="2"/>
  <c r="B42" i="2"/>
  <c r="G18" i="1"/>
  <c r="F17" i="2" s="1"/>
  <c r="G45" i="1"/>
  <c r="F42" i="2" s="1"/>
  <c r="T28" i="1" l="1" a="1"/>
  <c r="F45" i="1"/>
  <c r="E42" i="2" s="1"/>
  <c r="E45" i="1"/>
  <c r="J42" i="2"/>
  <c r="D42" i="2" l="1"/>
  <c r="D45" i="1" a="1"/>
  <c r="L69" i="1"/>
  <c r="N45" i="1"/>
  <c r="N69" i="1" s="1"/>
  <c r="M69" i="1"/>
  <c r="G86" i="1" l="1"/>
  <c r="V11" i="1"/>
  <c r="S11" i="1"/>
  <c r="D74" i="2"/>
  <c r="D82" i="2"/>
  <c r="D81" i="2"/>
  <c r="D77" i="2"/>
  <c r="D78" i="2"/>
  <c r="D75" i="2"/>
  <c r="D72" i="2"/>
  <c r="D73" i="2"/>
  <c r="D71" i="2"/>
  <c r="I79" i="2" l="1"/>
  <c r="H86" i="1" a="1"/>
  <c r="H17" i="2"/>
  <c r="I17" i="2" l="1"/>
  <c r="M2" i="3" a="1"/>
  <c r="L2" i="3" a="1"/>
  <c r="K2" i="3" a="1"/>
  <c r="J2" i="3" a="1"/>
  <c r="L25" i="3" a="1"/>
  <c r="J15" i="3" l="1" a="1"/>
  <c r="M18" i="3" a="1"/>
  <c r="K12" i="3" a="1"/>
  <c r="K15" i="3" a="1"/>
  <c r="M26" i="3" a="1"/>
  <c r="J26" i="3" a="1"/>
  <c r="M22" i="3" a="1"/>
  <c r="J13" i="3" a="1"/>
  <c r="J25" i="3" a="1"/>
  <c r="K21" i="3" a="1"/>
  <c r="J20" i="3" a="1"/>
  <c r="K19" i="3" a="1"/>
  <c r="K14" i="3" a="1"/>
  <c r="L26" i="3" a="1"/>
  <c r="L15" i="3" a="1"/>
  <c r="M25" i="3" a="1"/>
  <c r="M16" i="3" a="1"/>
  <c r="K27" i="3" a="1"/>
  <c r="K23" i="3" a="1"/>
  <c r="K18" i="3" a="1"/>
  <c r="L20" i="3" a="1"/>
  <c r="L14" i="3" a="1"/>
  <c r="M20" i="3" a="1"/>
  <c r="J19" i="3" a="1"/>
  <c r="J14" i="3" a="1"/>
  <c r="K26" i="3" a="1"/>
  <c r="K22" i="3" a="1"/>
  <c r="K13" i="3" a="1"/>
  <c r="L24" i="3" a="1"/>
  <c r="L19" i="3" a="1"/>
  <c r="M24" i="3" a="1"/>
  <c r="M15" i="3" a="1"/>
  <c r="J27" i="3" a="1"/>
  <c r="J23" i="3" a="1"/>
  <c r="J18" i="3" a="1"/>
  <c r="K25" i="3" a="1"/>
  <c r="K17" i="3" a="1"/>
  <c r="L18" i="3" a="1"/>
  <c r="L13" i="3" a="1"/>
  <c r="M19" i="3" a="1"/>
  <c r="M14" i="3" a="1"/>
  <c r="J17" i="3" a="1"/>
  <c r="K24" i="3" a="1"/>
  <c r="K16" i="3" a="1"/>
  <c r="L22" i="3" a="1"/>
  <c r="L17" i="3" a="1"/>
  <c r="L12" i="3" a="1"/>
  <c r="M23" i="3" a="1"/>
  <c r="M13" i="3" a="1"/>
  <c r="L23" i="3" a="1"/>
  <c r="J21" i="3" a="1"/>
  <c r="J12" i="3" a="1"/>
  <c r="K20" i="3" a="1"/>
  <c r="M27" i="3" a="1"/>
  <c r="J24" i="3" a="1"/>
  <c r="J16" i="3" a="1"/>
  <c r="L27" i="3" a="1"/>
  <c r="L21" i="3" a="1"/>
  <c r="M12" i="3" a="1"/>
  <c r="M3" i="3" l="1" a="1"/>
  <c r="L16" i="3" a="1"/>
  <c r="K11" i="3" a="1"/>
  <c r="L3" i="3" a="1"/>
  <c r="M11" i="3" a="1"/>
  <c r="J11" i="3" a="1"/>
  <c r="J3" i="3" a="1"/>
  <c r="K3" i="3" a="1"/>
  <c r="M17" i="3" l="1" a="1"/>
  <c r="B9" i="3"/>
  <c r="C9" i="3"/>
  <c r="D9" i="3"/>
  <c r="N9" i="3"/>
  <c r="P9" i="3"/>
  <c r="B10" i="3"/>
  <c r="C10" i="3"/>
  <c r="D10" i="3"/>
  <c r="N10" i="3"/>
  <c r="P10" i="3"/>
  <c r="B11" i="3"/>
  <c r="C11" i="3"/>
  <c r="D11" i="3"/>
  <c r="N11" i="3"/>
  <c r="P11" i="3"/>
  <c r="B12" i="3"/>
  <c r="C12" i="3"/>
  <c r="D12" i="3"/>
  <c r="N12" i="3"/>
  <c r="P12" i="3"/>
  <c r="B13" i="3"/>
  <c r="C13" i="3"/>
  <c r="D13" i="3"/>
  <c r="N13" i="3"/>
  <c r="P13" i="3"/>
  <c r="B14" i="3"/>
  <c r="C14" i="3"/>
  <c r="D14" i="3"/>
  <c r="N14" i="3"/>
  <c r="P14" i="3"/>
  <c r="B15" i="3"/>
  <c r="C15" i="3"/>
  <c r="D15" i="3"/>
  <c r="N15" i="3"/>
  <c r="P15" i="3"/>
  <c r="B16" i="3"/>
  <c r="C16" i="3"/>
  <c r="D16" i="3"/>
  <c r="N16" i="3"/>
  <c r="P16" i="3"/>
  <c r="B17" i="3"/>
  <c r="C17" i="3"/>
  <c r="D17" i="3"/>
  <c r="N17" i="3"/>
  <c r="P17" i="3"/>
  <c r="B18" i="3"/>
  <c r="C18" i="3"/>
  <c r="D18" i="3"/>
  <c r="N18" i="3"/>
  <c r="P18" i="3"/>
  <c r="B19" i="3"/>
  <c r="C19" i="3"/>
  <c r="D19" i="3"/>
  <c r="N19" i="3"/>
  <c r="P19" i="3"/>
  <c r="B20" i="3"/>
  <c r="C20" i="3"/>
  <c r="D20" i="3"/>
  <c r="N20" i="3"/>
  <c r="P20" i="3"/>
  <c r="B21" i="3"/>
  <c r="C21" i="3"/>
  <c r="D21" i="3"/>
  <c r="N21" i="3"/>
  <c r="P21" i="3"/>
  <c r="B22" i="3"/>
  <c r="C22" i="3"/>
  <c r="D22" i="3"/>
  <c r="N22" i="3"/>
  <c r="P22" i="3"/>
  <c r="B23" i="3"/>
  <c r="C23" i="3"/>
  <c r="D23" i="3"/>
  <c r="N23" i="3"/>
  <c r="P23" i="3"/>
  <c r="B24" i="3"/>
  <c r="C24" i="3"/>
  <c r="D24" i="3"/>
  <c r="N24" i="3"/>
  <c r="P24" i="3"/>
  <c r="B25" i="3"/>
  <c r="C25" i="3"/>
  <c r="D25" i="3"/>
  <c r="N25" i="3"/>
  <c r="P25" i="3"/>
  <c r="B26" i="3"/>
  <c r="C26" i="3"/>
  <c r="D26" i="3"/>
  <c r="N26" i="3"/>
  <c r="P26" i="3"/>
  <c r="B27" i="3"/>
  <c r="C27" i="3"/>
  <c r="D27" i="3"/>
  <c r="N27" i="3"/>
  <c r="P27" i="3"/>
  <c r="B8" i="3"/>
  <c r="C8" i="3"/>
  <c r="D8" i="3"/>
  <c r="N8" i="3"/>
  <c r="P8" i="3"/>
  <c r="M4" i="3" l="1" a="1"/>
  <c r="L4" i="3" a="1"/>
  <c r="K4" i="3" a="1"/>
  <c r="J4" i="3" a="1"/>
  <c r="J5" i="3" l="1" a="1"/>
  <c r="M5" i="3" a="1"/>
  <c r="K5" i="3" a="1"/>
  <c r="L5" i="3" a="1"/>
  <c r="D2" i="2"/>
  <c r="L6" i="3" l="1" a="1"/>
  <c r="J6" i="3" a="1"/>
  <c r="M6" i="3" a="1"/>
  <c r="K6" i="3" a="1"/>
  <c r="E18" i="1"/>
  <c r="F18" i="1"/>
  <c r="E17" i="2" s="1"/>
  <c r="D17" i="2" l="1"/>
  <c r="L7" i="3" a="1"/>
  <c r="M7" i="3" a="1"/>
  <c r="K7" i="3" a="1"/>
  <c r="J7" i="3" a="1"/>
  <c r="L11" i="3" a="1"/>
  <c r="B18" i="1"/>
  <c r="E4" i="2" l="1"/>
  <c r="E5" i="2"/>
  <c r="E6" i="2"/>
  <c r="E7" i="2"/>
  <c r="E3" i="2"/>
  <c r="P2" i="3"/>
  <c r="P3" i="3"/>
  <c r="P4" i="3"/>
  <c r="P5" i="3"/>
  <c r="P6" i="3"/>
  <c r="P7" i="3"/>
  <c r="N2" i="3"/>
  <c r="N3" i="3"/>
  <c r="N4" i="3"/>
  <c r="N5" i="3"/>
  <c r="N6" i="3"/>
  <c r="N7" i="3"/>
  <c r="D5" i="3"/>
  <c r="D7" i="3"/>
  <c r="D3" i="3"/>
  <c r="D4" i="3"/>
  <c r="D2" i="3"/>
  <c r="D6" i="3"/>
  <c r="C5" i="3"/>
  <c r="C7" i="3"/>
  <c r="C3" i="3"/>
  <c r="C4" i="3"/>
  <c r="C2" i="3"/>
  <c r="C6" i="3"/>
  <c r="B5" i="3"/>
  <c r="B7" i="3"/>
  <c r="B3" i="3"/>
  <c r="B4" i="3"/>
  <c r="B2" i="3"/>
  <c r="B6" i="3"/>
  <c r="J17" i="2" l="1"/>
  <c r="G78" i="1"/>
  <c r="V9" i="1" l="1"/>
  <c r="G85" i="1" s="1"/>
  <c r="H85" i="1" s="1"/>
  <c r="X6" i="1"/>
  <c r="W6" i="1"/>
  <c r="V6" i="1"/>
  <c r="U6" i="1"/>
  <c r="S6" i="1"/>
  <c r="G79" i="1"/>
  <c r="H80" i="1" s="1"/>
  <c r="G80" i="1" s="1"/>
  <c r="W11" i="1"/>
  <c r="M21" i="3" a="1"/>
  <c r="L8" i="3" l="1" a="1"/>
  <c r="M8" i="3" a="1"/>
  <c r="J8" i="3" a="1"/>
  <c r="K8" i="3" a="1"/>
  <c r="I72" i="2"/>
  <c r="I71" i="2"/>
  <c r="S9" i="1"/>
  <c r="G84" i="1" s="1"/>
  <c r="H84" i="1" s="1"/>
  <c r="G83" i="1"/>
  <c r="Q16" i="1" s="1"/>
  <c r="W16" i="1" l="1"/>
  <c r="X16" i="1" s="1"/>
  <c r="H83" i="1"/>
  <c r="J76" i="2" s="1"/>
  <c r="Q15" i="1"/>
  <c r="Q28" i="1"/>
  <c r="Q22" i="1"/>
  <c r="Q24" i="1"/>
  <c r="Q21" i="1"/>
  <c r="Q36" i="1"/>
  <c r="Q23" i="1"/>
  <c r="Q18" i="1"/>
  <c r="K9" i="3" a="1"/>
  <c r="J9" i="3" a="1"/>
  <c r="L9" i="3" a="1"/>
  <c r="M9" i="3" a="1"/>
  <c r="J22" i="3" a="1"/>
  <c r="K10" i="3" a="1"/>
  <c r="I76" i="2"/>
  <c r="J78" i="2"/>
  <c r="I78" i="2"/>
  <c r="I73" i="2"/>
  <c r="J73" i="2"/>
  <c r="J77" i="2"/>
  <c r="I77" i="2"/>
  <c r="W15" i="1" l="1"/>
  <c r="X15" i="1" s="1"/>
  <c r="Q41" i="1"/>
  <c r="J10" i="3" a="1"/>
  <c r="L10" i="3" a="1"/>
  <c r="M10" i="3" a="1"/>
  <c r="I2" i="3" a="1"/>
  <c r="I7" i="3" a="1"/>
  <c r="I4" i="3" a="1"/>
  <c r="I5" i="3" l="1" a="1"/>
  <c r="I3" i="3" a="1"/>
  <c r="I6" i="3" a="1"/>
  <c r="G19" i="3" a="1"/>
  <c r="F10" i="3" a="1"/>
  <c r="I26" i="3" a="1"/>
  <c r="H18" i="3" a="1"/>
  <c r="H11" i="3" a="1"/>
  <c r="F14" i="3" a="1"/>
  <c r="F15" i="3" a="1"/>
  <c r="G17" i="3" a="1"/>
  <c r="F25" i="3" a="1"/>
  <c r="G15" i="3" a="1"/>
  <c r="G10" i="3" a="1"/>
  <c r="H13" i="3" a="1"/>
  <c r="H14" i="3" a="1"/>
  <c r="G12" i="3" a="1"/>
  <c r="I19" i="3" a="1"/>
  <c r="G16" i="3" a="1"/>
  <c r="H17" i="3" a="1"/>
  <c r="F23" i="3" a="1"/>
  <c r="G13" i="3" a="1"/>
  <c r="F19" i="3" a="1"/>
  <c r="I15" i="3" a="1"/>
  <c r="G27" i="3" a="1"/>
  <c r="H15" i="3" a="1"/>
  <c r="F18" i="3" a="1"/>
  <c r="F13" i="3" a="1"/>
  <c r="G21" i="3" a="1"/>
  <c r="I22" i="3" a="1"/>
  <c r="I12" i="3" a="1"/>
  <c r="H27" i="3" a="1"/>
  <c r="I10" i="3" a="1"/>
  <c r="G26" i="3" a="1"/>
  <c r="I9" i="3" a="1"/>
  <c r="F16" i="3" a="1"/>
  <c r="I21" i="3" a="1"/>
  <c r="H25" i="3" a="1"/>
  <c r="G18" i="3" a="1"/>
  <c r="I13" i="3" a="1"/>
  <c r="G8" i="3" a="1"/>
  <c r="H26" i="3" a="1"/>
  <c r="F8" i="3" a="1"/>
  <c r="G9" i="3" a="1"/>
  <c r="I24" i="3" a="1"/>
  <c r="F22" i="3" a="1"/>
  <c r="G25" i="3" a="1"/>
  <c r="H9" i="3" a="1"/>
  <c r="I17" i="3" a="1"/>
  <c r="I20" i="3" a="1"/>
  <c r="I23" i="3" a="1"/>
  <c r="F9" i="3" a="1"/>
  <c r="F21" i="3" a="1"/>
  <c r="H24" i="3" a="1"/>
  <c r="G22" i="3" a="1"/>
  <c r="G24" i="3" a="1"/>
  <c r="F24" i="3" a="1"/>
  <c r="F27" i="3" a="1"/>
  <c r="I11" i="3" a="1"/>
  <c r="H10" i="3" a="1"/>
  <c r="H21" i="3" a="1"/>
  <c r="F12" i="3" a="1"/>
  <c r="I25" i="3" a="1"/>
  <c r="H23" i="3" a="1"/>
  <c r="G14" i="3" a="1"/>
  <c r="H16" i="3" a="1"/>
  <c r="F20" i="3" a="1"/>
  <c r="I27" i="3" a="1"/>
  <c r="G11" i="3" a="1"/>
  <c r="F11" i="3" a="1"/>
  <c r="H20" i="3" a="1"/>
  <c r="I16" i="3" a="1"/>
  <c r="H19" i="3" a="1"/>
  <c r="I18" i="3" a="1"/>
  <c r="H12" i="3" a="1"/>
  <c r="G20" i="3" a="1"/>
  <c r="H22" i="3" a="1"/>
  <c r="I14" i="3" a="1"/>
  <c r="I8" i="3" a="1"/>
  <c r="F26" i="3" a="1"/>
  <c r="H8" i="3" a="1"/>
  <c r="F17" i="3" a="1"/>
  <c r="G23" i="3" a="1"/>
  <c r="H3" i="3" a="1"/>
  <c r="G4" i="3" a="1"/>
  <c r="F4" i="3" a="1"/>
  <c r="F5" i="3" a="1"/>
  <c r="F3" i="3" a="1"/>
  <c r="G3" i="3" a="1"/>
  <c r="H6" i="3" a="1"/>
  <c r="H4" i="3" a="1"/>
  <c r="F7" i="3" a="1"/>
  <c r="G6" i="3" a="1"/>
  <c r="G7" i="3" a="1"/>
  <c r="H7" i="3" a="1"/>
  <c r="H5" i="3" a="1"/>
  <c r="H2" i="3" a="1"/>
  <c r="G5" i="3" a="1"/>
  <c r="F2" i="3" a="1"/>
  <c r="T23" i="1" l="1" a="1"/>
  <c r="T21" i="1" a="1"/>
  <c r="Q45" i="1"/>
  <c r="L42" i="2" s="1"/>
  <c r="W46" i="1"/>
  <c r="X46" i="1" s="1"/>
  <c r="W30" i="1"/>
  <c r="X30" i="1" s="1"/>
  <c r="W45" i="1" l="1"/>
  <c r="X45" i="1" s="1"/>
  <c r="W38" i="1"/>
  <c r="X38" i="1" s="1"/>
  <c r="W31" i="1"/>
  <c r="X31" i="1" s="1"/>
  <c r="W32" i="1"/>
  <c r="X32" i="1" s="1"/>
  <c r="W19" i="1"/>
  <c r="X19" i="1" s="1"/>
  <c r="W40" i="1"/>
  <c r="X40" i="1" s="1"/>
  <c r="W39" i="1"/>
  <c r="X39" i="1" s="1"/>
  <c r="W37" i="1"/>
  <c r="X37" i="1" s="1"/>
  <c r="W36" i="1"/>
  <c r="X36" i="1" s="1"/>
  <c r="W29" i="1"/>
  <c r="X29" i="1" s="1"/>
  <c r="W25" i="1"/>
  <c r="X25" i="1" s="1"/>
  <c r="N18" i="1"/>
  <c r="W35" i="1" l="1"/>
  <c r="X35" i="1" s="1"/>
  <c r="O18" i="1"/>
  <c r="P18" i="1" s="1"/>
  <c r="W21" i="1"/>
  <c r="X21" i="1" s="1"/>
  <c r="W26" i="1"/>
  <c r="X26" i="1" s="1"/>
  <c r="W22" i="1"/>
  <c r="X22" i="1" s="1"/>
  <c r="W24" i="1"/>
  <c r="X24" i="1" s="1"/>
  <c r="W20" i="1"/>
  <c r="X20" i="1" s="1"/>
  <c r="W27" i="1" l="1"/>
  <c r="X27" i="1" s="1"/>
  <c r="R18" i="1" l="1"/>
  <c r="S18" i="1" s="1"/>
  <c r="W18" i="1"/>
  <c r="X18" i="1" s="1"/>
  <c r="K17" i="2" l="1"/>
  <c r="L17" i="2" s="1"/>
  <c r="Q52" i="3" s="1"/>
  <c r="Q51" i="3" s="1"/>
  <c r="Q50" i="3" s="1"/>
  <c r="Q49" i="3" s="1"/>
  <c r="Q48" i="3" s="1"/>
  <c r="Q47" i="3" s="1"/>
  <c r="Q46" i="3" s="1"/>
  <c r="O46" i="3" s="1"/>
  <c r="Q45" i="3" l="1"/>
  <c r="Q44" i="3" s="1"/>
  <c r="Q43" i="3" s="1"/>
  <c r="Q42" i="3" s="1"/>
  <c r="Q41" i="3" s="1"/>
  <c r="O41" i="3" s="1"/>
  <c r="Q40" i="3" s="1"/>
  <c r="O40" i="3" s="1"/>
  <c r="K63" i="1" s="1"/>
  <c r="P63" i="1" s="1"/>
  <c r="K60" i="2" s="1"/>
  <c r="Q39" i="3" s="1"/>
  <c r="Q38" i="3" s="1"/>
  <c r="Q37" i="3" s="1"/>
  <c r="Q36" i="3" s="1"/>
  <c r="Q35" i="3" s="1"/>
  <c r="Q34" i="3" s="1"/>
  <c r="Q33" i="3" s="1"/>
  <c r="Q32" i="3" s="1"/>
  <c r="O32" i="3" s="1"/>
  <c r="Q31" i="3" s="1"/>
  <c r="Q30" i="3" s="1"/>
  <c r="O30" i="3" s="1"/>
  <c r="Q29" i="3" s="1"/>
  <c r="Q28" i="3" s="1"/>
  <c r="Q27" i="3" s="1"/>
  <c r="O27" i="3" s="1"/>
  <c r="Q26" i="3" s="1"/>
  <c r="Q25" i="3" s="1"/>
  <c r="O25" i="3" s="1"/>
  <c r="O58" i="1" s="1"/>
  <c r="K58" i="1" s="1"/>
  <c r="P58" i="1" s="1"/>
  <c r="K55" i="2" s="1"/>
  <c r="Q24" i="3" s="1"/>
  <c r="O24" i="3" s="1"/>
  <c r="Q23" i="3" s="1"/>
  <c r="O23" i="3" s="1"/>
  <c r="Q22" i="3" s="1"/>
  <c r="Q21" i="3" s="1"/>
  <c r="Q20" i="3" s="1"/>
  <c r="Q19" i="3" s="1"/>
  <c r="O19" i="3" s="1"/>
  <c r="Q18" i="3" s="1"/>
  <c r="Q17" i="3" s="1"/>
  <c r="Q16" i="3" s="1"/>
  <c r="Q15" i="3" s="1"/>
  <c r="O15" i="3" s="1"/>
  <c r="Q14" i="3" s="1"/>
  <c r="O14" i="3" s="1"/>
  <c r="Q13" i="3" s="1"/>
  <c r="O13" i="3" s="1"/>
  <c r="Q12" i="3" s="1"/>
  <c r="Q11" i="3" s="1"/>
  <c r="O11" i="3" s="1"/>
  <c r="O50" i="1" s="1"/>
  <c r="K50" i="1" s="1"/>
  <c r="P50" i="1" s="1"/>
  <c r="Q10" i="3" s="1"/>
  <c r="Q9" i="3" s="1"/>
  <c r="Q8" i="3" s="1"/>
  <c r="O8" i="3" s="1"/>
  <c r="Q7" i="3" s="1"/>
  <c r="Q6" i="3" s="1"/>
  <c r="Q5" i="3" s="1"/>
  <c r="O5" i="3" s="1"/>
  <c r="Q4" i="3" s="1"/>
  <c r="Q3" i="3" s="1"/>
  <c r="O3" i="3" s="1"/>
  <c r="Q2" i="3" s="1"/>
  <c r="U68" i="1" s="1"/>
  <c r="V68" i="1" s="1"/>
  <c r="U67" i="1" s="1"/>
  <c r="V67" i="1" s="1"/>
  <c r="U66" i="1" s="1"/>
  <c r="V66" i="1" s="1"/>
  <c r="U65" i="1" s="1"/>
  <c r="V65" i="1" s="1"/>
  <c r="U64" i="1" s="1"/>
  <c r="V64" i="1" s="1"/>
  <c r="U63" i="1" s="1"/>
  <c r="V63" i="1" s="1"/>
  <c r="U62" i="1" s="1"/>
  <c r="V62" i="1" s="1"/>
  <c r="U61" i="1" s="1"/>
  <c r="V61" i="1" s="1"/>
  <c r="U60" i="1" s="1"/>
  <c r="V60" i="1" s="1"/>
  <c r="U59" i="1" s="1"/>
  <c r="V59" i="1" s="1"/>
  <c r="U58" i="1" s="1"/>
  <c r="V58" i="1" s="1"/>
  <c r="U57" i="1" s="1"/>
  <c r="V57" i="1" s="1"/>
  <c r="U56" i="1" s="1"/>
  <c r="V56" i="1" s="1"/>
  <c r="U55" i="1" s="1"/>
  <c r="V55" i="1" s="1"/>
  <c r="U54" i="1" s="1"/>
  <c r="V54" i="1" s="1"/>
  <c r="U53" i="1" s="1"/>
  <c r="V53" i="1" s="1"/>
  <c r="U52" i="1" s="1"/>
  <c r="V52" i="1" s="1"/>
  <c r="U51" i="1" s="1"/>
  <c r="V51" i="1" s="1"/>
  <c r="U50" i="1" s="1"/>
  <c r="V50" i="1" s="1"/>
  <c r="W50" i="1" s="1"/>
  <c r="X50" i="1" s="1"/>
  <c r="U49" i="1" s="1"/>
  <c r="V49" i="1" s="1"/>
  <c r="U48" i="1" s="1"/>
  <c r="V48" i="1" s="1"/>
  <c r="U47" i="1" s="1"/>
  <c r="V47" i="1" s="1"/>
  <c r="U46" i="1" s="1"/>
  <c r="V46" i="1" s="1"/>
  <c r="U45" i="1" s="1"/>
  <c r="V45" i="1" s="1"/>
  <c r="U40" i="1" s="1"/>
  <c r="V40" i="1" s="1"/>
  <c r="U39" i="1" s="1"/>
  <c r="V39" i="1" s="1"/>
  <c r="U38" i="1" s="1"/>
  <c r="V38" i="1" s="1"/>
  <c r="U37" i="1" s="1"/>
  <c r="V37" i="1" s="1"/>
  <c r="U36" i="1" s="1"/>
  <c r="V36" i="1" s="1"/>
  <c r="U35" i="1" s="1"/>
  <c r="V35" i="1" s="1"/>
  <c r="U34" i="1" s="1"/>
  <c r="V34" i="1" s="1"/>
  <c r="U33" i="1" s="1"/>
  <c r="V33" i="1" s="1"/>
  <c r="U31" i="1" s="1"/>
  <c r="V31" i="1" s="1"/>
  <c r="U30" i="1" s="1"/>
  <c r="V30" i="1" s="1"/>
  <c r="U29" i="1" s="1"/>
  <c r="V29" i="1" s="1"/>
  <c r="U28" i="1" s="1"/>
  <c r="V28" i="1" s="1"/>
  <c r="U27" i="1" s="1"/>
  <c r="V27" i="1" s="1"/>
  <c r="U26" i="1" s="1"/>
  <c r="V26" i="1" s="1"/>
  <c r="U25" i="1" s="1"/>
  <c r="V25" i="1" s="1"/>
  <c r="U24" i="1" s="1"/>
  <c r="V24" i="1" s="1"/>
  <c r="U23" i="1" s="1"/>
  <c r="V23" i="1" s="1"/>
  <c r="O68" i="1"/>
  <c r="K68" i="1" s="1"/>
  <c r="P68" i="1" s="1"/>
  <c r="Q68" i="1" s="1"/>
  <c r="L65" i="2" s="1"/>
  <c r="U22" i="1"/>
  <c r="V22" i="1" s="1"/>
  <c r="U21" i="1" s="1"/>
  <c r="V21" i="1" s="1"/>
  <c r="U20" i="1" s="1"/>
  <c r="V20" i="1" s="1"/>
  <c r="U19" i="1" s="1"/>
  <c r="V19" i="1" s="1"/>
  <c r="U18" i="1" s="1"/>
  <c r="V18" i="1" s="1"/>
  <c r="U17" i="1" s="1"/>
  <c r="V17" i="1" s="1"/>
  <c r="U16" i="1" s="1"/>
  <c r="V16" i="1" s="1"/>
  <c r="U15" i="1" s="1"/>
  <c r="V15" i="1" s="1"/>
  <c r="M25" i="1"/>
  <c r="O21" i="3"/>
  <c r="M19" i="1"/>
  <c r="O7" i="3"/>
  <c r="M22" i="1"/>
  <c r="O16" i="3"/>
  <c r="N22" i="1" s="1"/>
  <c r="O22" i="1" s="1"/>
  <c r="P22" i="1" s="1"/>
  <c r="R22" i="1" s="1"/>
  <c r="S22" i="1" s="1"/>
  <c r="K21" i="2" s="1"/>
  <c r="L21" i="2" s="1"/>
  <c r="M39" i="1"/>
  <c r="O48" i="3"/>
  <c r="M20" i="1"/>
  <c r="O9" i="3"/>
  <c r="M23" i="1"/>
  <c r="O17" i="3"/>
  <c r="N23" i="1" s="1"/>
  <c r="O23" i="1" s="1"/>
  <c r="P23" i="1" s="1"/>
  <c r="R23" i="1" s="1"/>
  <c r="S23" i="1" s="1"/>
  <c r="M30" i="1"/>
  <c r="O33" i="3"/>
  <c r="M40" i="1"/>
  <c r="O49" i="3"/>
  <c r="M36" i="1"/>
  <c r="O39" i="3"/>
  <c r="N36" i="1" s="1"/>
  <c r="O36" i="1" s="1"/>
  <c r="P36" i="1" s="1"/>
  <c r="R36" i="1" s="1"/>
  <c r="S36" i="1" s="1"/>
  <c r="K35" i="2" s="1"/>
  <c r="L35" i="2" s="1"/>
  <c r="O2" i="3"/>
  <c r="O45" i="1" s="1"/>
  <c r="K45" i="1" s="1"/>
  <c r="P45" i="1" s="1"/>
  <c r="M21" i="1"/>
  <c r="O10" i="3"/>
  <c r="N21" i="1" s="1"/>
  <c r="O21" i="1" s="1"/>
  <c r="P21" i="1" s="1"/>
  <c r="R21" i="1" s="1"/>
  <c r="S21" i="1" s="1"/>
  <c r="K20" i="2" s="1"/>
  <c r="L20" i="2" s="1"/>
  <c r="O18" i="3"/>
  <c r="O26" i="3"/>
  <c r="M31" i="1"/>
  <c r="O34" i="3"/>
  <c r="N31" i="1" s="1"/>
  <c r="O31" i="1" s="1"/>
  <c r="P31" i="1" s="1"/>
  <c r="R31" i="1" s="1"/>
  <c r="S31" i="1" s="1"/>
  <c r="K30" i="2" s="1"/>
  <c r="L30" i="2" s="1"/>
  <c r="O42" i="3"/>
  <c r="K65" i="1" s="1"/>
  <c r="P65" i="1" s="1"/>
  <c r="M15" i="1"/>
  <c r="O50" i="3"/>
  <c r="N15" i="1" s="1"/>
  <c r="O15" i="1" s="1"/>
  <c r="P15" i="1" s="1"/>
  <c r="Q50" i="1"/>
  <c r="L47" i="2" s="1"/>
  <c r="K47" i="2"/>
  <c r="M32" i="1"/>
  <c r="O35" i="3"/>
  <c r="N32" i="1" s="1"/>
  <c r="O32" i="1" s="1"/>
  <c r="P32" i="1" s="1"/>
  <c r="R32" i="1" s="1"/>
  <c r="S32" i="1" s="1"/>
  <c r="K31" i="2" s="1"/>
  <c r="L31" i="2" s="1"/>
  <c r="O43" i="3"/>
  <c r="K66" i="1" s="1"/>
  <c r="P66" i="1" s="1"/>
  <c r="M16" i="1"/>
  <c r="O51" i="3"/>
  <c r="N16" i="1" s="1"/>
  <c r="O16" i="1" s="1"/>
  <c r="P16" i="1" s="1"/>
  <c r="R16" i="1" s="1"/>
  <c r="S16" i="1" s="1"/>
  <c r="K15" i="2" s="1"/>
  <c r="L15" i="2" s="1"/>
  <c r="M28" i="1"/>
  <c r="O29" i="3"/>
  <c r="N28" i="1" s="1"/>
  <c r="O28" i="1" s="1"/>
  <c r="P28" i="1" s="1"/>
  <c r="R28" i="1" s="1"/>
  <c r="S28" i="1" s="1"/>
  <c r="M34" i="1"/>
  <c r="O37" i="3"/>
  <c r="N34" i="1" s="1"/>
  <c r="O34" i="1" s="1"/>
  <c r="P34" i="1" s="1"/>
  <c r="R34" i="1" s="1"/>
  <c r="S34" i="1" s="1"/>
  <c r="K33" i="2" s="1"/>
  <c r="L33" i="2" s="1"/>
  <c r="M37" i="1"/>
  <c r="O45" i="3"/>
  <c r="M18" i="1"/>
  <c r="O6" i="3"/>
  <c r="M26" i="1"/>
  <c r="O22" i="3"/>
  <c r="M35" i="1"/>
  <c r="O38" i="3"/>
  <c r="N35" i="1" s="1"/>
  <c r="O35" i="1" s="1"/>
  <c r="P35" i="1" s="1"/>
  <c r="R35" i="1" s="1"/>
  <c r="S35" i="1" s="1"/>
  <c r="K34" i="2" s="1"/>
  <c r="L34" i="2" s="1"/>
  <c r="M29" i="1"/>
  <c r="O31" i="3"/>
  <c r="M38" i="1"/>
  <c r="O47" i="3"/>
  <c r="O4" i="3"/>
  <c r="O12" i="3"/>
  <c r="M24" i="1"/>
  <c r="O20" i="3"/>
  <c r="N24" i="1" s="1"/>
  <c r="O24" i="1" s="1"/>
  <c r="P24" i="1" s="1"/>
  <c r="R24" i="1" s="1"/>
  <c r="S24" i="1" s="1"/>
  <c r="K23" i="2" s="1"/>
  <c r="L23" i="2" s="1"/>
  <c r="M27" i="1"/>
  <c r="O28" i="3"/>
  <c r="M33" i="1"/>
  <c r="O36" i="3"/>
  <c r="N33" i="1" s="1"/>
  <c r="O33" i="1" s="1"/>
  <c r="P33" i="1" s="1"/>
  <c r="R33" i="1" s="1"/>
  <c r="S33" i="1" s="1"/>
  <c r="K32" i="2" s="1"/>
  <c r="L32" i="2" s="1"/>
  <c r="O44" i="3"/>
  <c r="M17" i="1"/>
  <c r="O52" i="3"/>
  <c r="J79" i="2"/>
  <c r="W68" i="1" l="1"/>
  <c r="X68" i="1" s="1"/>
  <c r="K65" i="2"/>
  <c r="W23" i="1"/>
  <c r="X23" i="1" s="1"/>
  <c r="K22" i="2"/>
  <c r="L22" i="2" s="1"/>
  <c r="P41" i="1"/>
  <c r="R15" i="1"/>
  <c r="S15" i="1" s="1"/>
  <c r="W28" i="1"/>
  <c r="X28" i="1" s="1"/>
  <c r="K27" i="2"/>
  <c r="L27" i="2" s="1"/>
  <c r="K42" i="2"/>
  <c r="P69" i="1"/>
  <c r="H82" i="1" s="1"/>
  <c r="Q65" i="1"/>
  <c r="L62" i="2" s="1"/>
  <c r="K62" i="2"/>
  <c r="Q66" i="1"/>
  <c r="L63" i="2" s="1"/>
  <c r="K63" i="2"/>
  <c r="S41" i="1" l="1"/>
  <c r="K14" i="2"/>
  <c r="L14" i="2" s="1"/>
  <c r="J75" i="2"/>
  <c r="G82" i="1"/>
  <c r="H87" i="1"/>
  <c r="G87" i="1" l="1"/>
  <c r="I80" i="2" s="1"/>
  <c r="I75" i="2"/>
  <c r="U32" i="1" s="1"/>
  <c r="V32" i="1" s="1"/>
  <c r="G89" i="1"/>
  <c r="I82" i="2" s="1"/>
  <c r="J80" i="2"/>
  <c r="D91" i="1"/>
  <c r="D84" i="2" s="1"/>
  <c r="H88" i="1"/>
  <c r="J81" i="2" l="1"/>
  <c r="G88" i="1"/>
  <c r="I81"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Guest User</author>
    <author>tc={9DF97B49-1B95-4460-9384-362CD0C516AC}</author>
    <author>tc={0BFAB4D7-24EE-437C-A613-134B582CB6E4}</author>
    <author>tc={3DE48FC3-D132-47DA-8DE7-B5268714C8CC}</author>
    <author>tc={0BBB341E-4E18-48C1-B7C2-8E2CFC3B718C}</author>
    <author>tc={A1E4E6D3-6135-46F7-B4FE-C982EA70C493}</author>
    <author>tc={D6D96CC6-F5FF-46F0-AC3A-1B598E2A2288}</author>
    <author>tc={8DC8E9EC-E211-4E62-B45E-728E642726FA}</author>
  </authors>
  <commentList>
    <comment ref="E1" authorId="0" shapeId="0" xr:uid="{C9C64E01-06EC-4E6A-A6F8-9CDF498B62F5}">
      <text>
        <r>
          <rPr>
            <sz val="11"/>
            <color theme="1"/>
            <rFont val="Calibri"/>
            <family val="2"/>
          </rPr>
          <t>Unknown User:
Herbicide, Insecticide, Fungucide</t>
        </r>
      </text>
    </comment>
    <comment ref="J13" authorId="1" shapeId="0" xr:uid="{9DF97B49-1B95-4460-9384-362CD0C516AC}">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Labeled in AZ/CA only
Reply:
    @J. Nolfo  should this be removed from the Golf Fall Solutions Flyer
Reply:
    Include in Golf Fall.</t>
      </text>
    </comment>
    <comment ref="J20" authorId="2" shapeId="0" xr:uid="{0BFAB4D7-24EE-437C-A613-134B582CB6E4}">
      <text>
        <t>[Threaded comment]
Your version of Excel allows you to read this threaded comment; however, any edits to it will get removed if the file is opened in a newer version of Excel. Learn more: https://go.microsoft.com/fwlink/?linkid=870924
Comment:
    Sales count towards purchase tier, but will not be rebated</t>
      </text>
    </comment>
    <comment ref="J21" authorId="3" shapeId="0" xr:uid="{3DE48FC3-D132-47DA-8DE7-B5268714C8CC}">
      <text>
        <t>[Threaded comment]
Your version of Excel allows you to read this threaded comment; however, any edits to it will get removed if the file is opened in a newer version of Excel. Learn more: https://go.microsoft.com/fwlink/?linkid=870924
Comment:
    Sales count towards purchase tier, but not rebated</t>
      </text>
    </comment>
    <comment ref="O41" authorId="4" shapeId="0" xr:uid="{0BBB341E-4E18-48C1-B7C2-8E2CFC3B718C}">
      <text>
        <t xml:space="preserve">[Threaded comment]
Your version of Excel allows you to read this threaded comment; however, any edits to it will get removed if the file is opened in a newer version of Excel. Learn more: https://go.microsoft.com/fwlink/?linkid=870924
Comment:
    Need to add line for volume buy (8+) - could do $25/30 per bt. for volume buy; </t>
      </text>
    </comment>
    <comment ref="O42" authorId="5" shapeId="0" xr:uid="{A1E4E6D3-6135-46F7-B4FE-C982EA70C493}">
      <text>
        <t xml:space="preserve">[Threaded comment]
Your version of Excel allows you to read this threaded comment; however, any edits to it will get removed if the file is opened in a newer version of Excel. Learn more: https://go.microsoft.com/fwlink/?linkid=870924
Comment:
    Need to add line for volume buy (8+) - could do $25/30 per bt. for volume buy; </t>
      </text>
    </comment>
    <comment ref="P61" authorId="6" shapeId="0" xr:uid="{D6D96CC6-F5FF-46F0-AC3A-1B598E2A2288}">
      <text>
        <t>[Threaded comment]
Your version of Excel allows you to read this threaded comment; however, any edits to it will get removed if the file is opened in a newer version of Excel. Learn more: https://go.microsoft.com/fwlink/?linkid=870924
Comment:
    Suggestion based on inventory situation, and new market entry -- incurred significant price increase to begin year.
Reply:
    Changed on 7/13 per emails</t>
      </text>
    </comment>
    <comment ref="P67" authorId="7" shapeId="0" xr:uid="{8DC8E9EC-E211-4E62-B45E-728E642726FA}">
      <text>
        <t>[Threaded comment]
Your version of Excel allows you to read this threaded comment; however, any edits to it will get removed if the file is opened in a newer version of Excel. Learn more: https://go.microsoft.com/fwlink/?linkid=870924
Comment:
    Based on everything we have learned since aquiring this asset, it is miss priced in the market.  I think we need a dramatic list price adjustment</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<sst xmlns="http://schemas.openxmlformats.org/spreadsheetml/2006/main" count="856" uniqueCount="260">
  <si>
    <t xml:space="preserve">         USA 2026 LAWN FALL SOLUTIONS CALCULATOR</t>
  </si>
  <si>
    <t>Additional Rebates &amp; Bonus Unlocks:</t>
  </si>
  <si>
    <t>NAME YOUR DRAFT ORDER HERE:</t>
  </si>
  <si>
    <t>Spend Requirement:</t>
  </si>
  <si>
    <t>$5k+</t>
  </si>
  <si>
    <t>$22k+</t>
  </si>
  <si>
    <t>$55k+</t>
  </si>
  <si>
    <t>$110k+</t>
  </si>
  <si>
    <t>$165k+</t>
  </si>
  <si>
    <r>
      <rPr>
        <b/>
        <sz val="10"/>
        <color rgb="FF000000"/>
        <rFont val="Calibri"/>
        <family val="2"/>
      </rPr>
      <t>Description</t>
    </r>
    <r>
      <rPr>
        <sz val="10"/>
        <color rgb="FF000000"/>
        <rFont val="Calibri"/>
        <family val="2"/>
      </rPr>
      <t xml:space="preserve">: </t>
    </r>
  </si>
  <si>
    <t>Tier Rebate:</t>
  </si>
  <si>
    <r>
      <rPr>
        <b/>
        <sz val="10"/>
        <color rgb="FF000000"/>
        <rFont val="Calibri"/>
        <family val="2"/>
      </rPr>
      <t>Dist/DSR</t>
    </r>
    <r>
      <rPr>
        <sz val="10"/>
        <color rgb="FF000000"/>
        <rFont val="Calibri"/>
        <family val="2"/>
      </rPr>
      <t xml:space="preserve">: </t>
    </r>
  </si>
  <si>
    <t xml:space="preserve">Envu Horizon ID: </t>
  </si>
  <si>
    <t>Product:</t>
  </si>
  <si>
    <t>Dismiss NXT (Warm and Cool)
(8+ bottles)</t>
  </si>
  <si>
    <t>Scion
(16+ bottles)</t>
  </si>
  <si>
    <r>
      <rPr>
        <b/>
        <sz val="10"/>
        <color rgb="FF000000"/>
        <rFont val="Calibri"/>
        <family val="2"/>
      </rPr>
      <t>Last Updated</t>
    </r>
    <r>
      <rPr>
        <sz val="10"/>
        <color rgb="FF000000"/>
        <rFont val="Calibri"/>
        <family val="2"/>
      </rPr>
      <t xml:space="preserve">: </t>
    </r>
  </si>
  <si>
    <r>
      <rPr>
        <b/>
        <sz val="10"/>
        <color rgb="FF000000"/>
        <rFont val="Calibri"/>
        <family val="2"/>
      </rPr>
      <t>Created For</t>
    </r>
    <r>
      <rPr>
        <sz val="10"/>
        <color rgb="FF000000"/>
        <rFont val="Calibri"/>
        <family val="2"/>
      </rPr>
      <t xml:space="preserve">: </t>
    </r>
  </si>
  <si>
    <t>October Bonus:</t>
  </si>
  <si>
    <t>YES</t>
  </si>
  <si>
    <t>Spend &lt; $55k = 1.0%;   Spend &gt; $55k =  2.0%</t>
  </si>
  <si>
    <t>ZM ADD</t>
  </si>
  <si>
    <t>HIDE</t>
  </si>
  <si>
    <t>SKU Code</t>
  </si>
  <si>
    <t>RELEVANT</t>
  </si>
  <si>
    <t>REBATE FINDER. (Minimum Program Purchase to receive rebates is $5,000)</t>
  </si>
  <si>
    <t>PRODUCT NAME</t>
  </si>
  <si>
    <t>UNIT SIZE</t>
  </si>
  <si>
    <t>CATEGORY</t>
  </si>
  <si>
    <t># UNITS</t>
  </si>
  <si>
    <t>ORIGINAL PRICE</t>
  </si>
  <si>
    <t>INSEASON SUBTOTAL</t>
  </si>
  <si>
    <t>EOP PRICE/
UNIT*</t>
  </si>
  <si>
    <r>
      <t xml:space="preserve">INVOICE SUBTOTAL 
</t>
    </r>
    <r>
      <rPr>
        <sz val="8"/>
        <color rgb="FF000000"/>
        <rFont val="Calibri"/>
        <family val="2"/>
      </rPr>
      <t>must be a minimum of $5,000 across NOW/FALL program  to receive  rebates</t>
    </r>
  </si>
  <si>
    <t>REBATE TIERS AVAILABLE</t>
  </si>
  <si>
    <t>REBATE TIERS QUALIFIED</t>
  </si>
  <si>
    <t>QUALIFIED REBATE PER UNIT</t>
  </si>
  <si>
    <t>VOLUME BUY 
REBATES**†</t>
  </si>
  <si>
    <t>ENVU EXTRAS + TIER REBATES</t>
  </si>
  <si>
    <t>NET PRICE/UNIT 
(all NOW rebates)</t>
  </si>
  <si>
    <t>TOTAL AFTER REBATE</t>
  </si>
  <si>
    <r>
      <t>USE RATE / 1,000 FT</t>
    </r>
    <r>
      <rPr>
        <b/>
        <vertAlign val="superscript"/>
        <sz val="9"/>
        <color rgb="FF000000"/>
        <rFont val="Calibri"/>
        <family val="2"/>
      </rPr>
      <t>2</t>
    </r>
  </si>
  <si>
    <t>USE RATE / ACRE</t>
  </si>
  <si>
    <t>TOTAL ACRES TREATED</t>
  </si>
  <si>
    <t>COST/ ACRE</t>
  </si>
  <si>
    <r>
      <t>COST/ 1,000 FT</t>
    </r>
    <r>
      <rPr>
        <b/>
        <vertAlign val="superscript"/>
        <sz val="9"/>
        <color rgb="FF000000"/>
        <rFont val="Calibri"/>
        <family val="2"/>
      </rPr>
      <t>2</t>
    </r>
  </si>
  <si>
    <t>D00000903-1</t>
  </si>
  <si>
    <t>D00000903-2</t>
  </si>
  <si>
    <t>D00000903-3</t>
  </si>
  <si>
    <t xml:space="preserve">D00001204 </t>
  </si>
  <si>
    <t>D00000911</t>
  </si>
  <si>
    <t>D00000991</t>
  </si>
  <si>
    <t>D00000990-1</t>
  </si>
  <si>
    <t>D00000990-2</t>
  </si>
  <si>
    <t>D00000990-3</t>
  </si>
  <si>
    <t>D00000990-4</t>
  </si>
  <si>
    <t>D00000992</t>
  </si>
  <si>
    <t>NON-AGENCY PRODUCTS</t>
  </si>
  <si>
    <t>SKU CODE</t>
  </si>
  <si>
    <t>MINIMUM QUANTITY REQUIREMENT FOR REBATE</t>
  </si>
  <si>
    <t>PRICE / 
UNIT</t>
  </si>
  <si>
    <t>REDEMPTION VALUE</t>
  </si>
  <si>
    <t>REBATE PER UNIT</t>
  </si>
  <si>
    <t>SUBTOTAL BEFORE REBATE</t>
  </si>
  <si>
    <t>IN SEASON SUBTOTAL</t>
  </si>
  <si>
    <t>IN SEASON SUBTOTAL AFTER REBATE</t>
  </si>
  <si>
    <t>SUBTOTAL AFTER REBATE</t>
  </si>
  <si>
    <r>
      <t xml:space="preserve">NET PRICE/UNIT
</t>
    </r>
    <r>
      <rPr>
        <b/>
        <i/>
        <sz val="9"/>
        <color rgb="FF000000"/>
        <rFont val="Calibri"/>
        <family val="2"/>
      </rPr>
      <t>(after rebate)</t>
    </r>
  </si>
  <si>
    <t>D00000898</t>
  </si>
  <si>
    <t>NA</t>
  </si>
  <si>
    <t>NA-1</t>
  </si>
  <si>
    <t>D00001040</t>
  </si>
  <si>
    <t>D00001041</t>
  </si>
  <si>
    <t>D00000961</t>
  </si>
  <si>
    <t>D00000962</t>
  </si>
  <si>
    <t>D00000669</t>
  </si>
  <si>
    <t>D00000670</t>
  </si>
  <si>
    <t>D00000673</t>
  </si>
  <si>
    <t>D00000672</t>
  </si>
  <si>
    <t>D00000671</t>
  </si>
  <si>
    <t>D00001012</t>
  </si>
  <si>
    <t>**ERROR**:   MISSING PRICE INPUT VALUE</t>
  </si>
  <si>
    <t>Summary</t>
  </si>
  <si>
    <t>Summary is provided as an estimate only. See program rules and conditions.</t>
  </si>
  <si>
    <t xml:space="preserve">  Estimated Total Before Off Invoice Discounts:</t>
  </si>
  <si>
    <t xml:space="preserve">*Pricing for all states except CA or WA. Must be purchased on a single invoice to receive volume discount price. Purchase tier amount credited for non-agency products is predetermined by Envu. **Must be registered in Envu Horizon and accept current Terms and Conditions to participate. ***Customer Envu Horizon Early Order Program cumulative purchases (Aug. 1 - Dec. 4, 2026) must be $5,000 or more to qualify for program rebates. ++Specticle® FLO is not eligible for Envu Extras or tier rebates. New members signed up before Dec. 31, 2026, will receive 2026 Envu Horizon Early Order Program rebates. All rebates for 2026 Envu Horizon Early Order Program will be paid in points, which can be redeemed for thousands of catalog items, distributor credits and/or company checks (no checks can be issued to a third party). All Products must be invoiced between Oct. 1 and Dec. 4, 2026, to qualify. Rebate calculations will be based on the date of actual product invoice and calculator tools are provided for estimation purposes only. Rebates will only be paid or delivered to the company or name listed on the invoice. Please allow for rebates to be fulfilled by July 31, 2027. End users are only eligible for one Envu incentive program on these invoiced products. Resale of product(s) purchased within this program will not qualify for rebates. If questions arise, please contact Envu Horizon Headquarters at 1-888-456-6464 or email info@envuhorizon.com. Envu reserves the right to modify any portion thereof, or discontinue this program without prior notice.
ALWAYS READ AND FOLLOW LABEL INSTRUCTIONS. Environmental Science U.S. LLC, 5000 CentreGreen Way, Suite 400, Cary, NC 27513. For additional product information, call toll-free 1-800-331-2867. www.envu.com. Not all products are registered in all states. Envu® and the Envu logo are trademarks owned by Environmental Science U.S. LLC or one of its affiliates. Other trademarks are the property of their respective owners. ©2026 Environmental Science U.S. LLC. </t>
  </si>
  <si>
    <t xml:space="preserve">  Estimated Invoice Total:</t>
  </si>
  <si>
    <t>Estimated Off-Invoice Discount:</t>
  </si>
  <si>
    <t>Volume Buy Rebate, Envu Extras &amp; Tier Rebates:</t>
  </si>
  <si>
    <t>Estimated Total Volume Buy Rebate:</t>
  </si>
  <si>
    <t>Estimated Tier Rebate Amount:</t>
  </si>
  <si>
    <t>Estimated Dismiss NXT Rebate (8+ units):</t>
  </si>
  <si>
    <t>Estimated Scion Rebate (16+ units):</t>
  </si>
  <si>
    <t>October Bonus</t>
  </si>
  <si>
    <t>Estimated Total Rebate:</t>
  </si>
  <si>
    <t xml:space="preserve">Estimated Total Savings (Rebates + Off Invoice Discounts):  </t>
  </si>
  <si>
    <t>Estimated Net Total after Rebates &amp; Discounts:</t>
  </si>
  <si>
    <r>
      <rPr>
        <b/>
        <sz val="10"/>
        <color rgb="FF000000"/>
        <rFont val="Calibri"/>
        <family val="2"/>
      </rPr>
      <t>Distributor/DSR</t>
    </r>
    <r>
      <rPr>
        <sz val="10"/>
        <color rgb="FF000000"/>
        <rFont val="Calibri"/>
        <family val="2"/>
      </rPr>
      <t xml:space="preserve">: </t>
    </r>
  </si>
  <si>
    <t>Page 1 of 1</t>
  </si>
  <si>
    <t>VOLUME 
BUY MET</t>
  </si>
  <si>
    <t>Category</t>
  </si>
  <si>
    <t>IN-SEASON PRICE/UNIT</t>
  </si>
  <si>
    <t>EOP 
PRICE/UNIT</t>
  </si>
  <si>
    <r>
      <t xml:space="preserve">SUBTOTAL
</t>
    </r>
    <r>
      <rPr>
        <b/>
        <sz val="8"/>
        <color rgb="FF000000"/>
        <rFont val="Calibri"/>
        <family val="2"/>
      </rPr>
      <t>(before rebates &amp; discounts)</t>
    </r>
  </si>
  <si>
    <r>
      <t xml:space="preserve">SUBTOTAL
</t>
    </r>
    <r>
      <rPr>
        <b/>
        <sz val="8"/>
        <color rgb="FF000000"/>
        <rFont val="Calibri"/>
        <family val="2"/>
      </rPr>
      <t>(after rebates &amp; discounts)</t>
    </r>
  </si>
  <si>
    <r>
      <t xml:space="preserve">NET PRICE/UNIT
</t>
    </r>
    <r>
      <rPr>
        <b/>
        <i/>
        <sz val="8"/>
        <color rgb="FF000000"/>
        <rFont val="Calibri"/>
        <family val="2"/>
      </rPr>
      <t>(after rebate)</t>
    </r>
  </si>
  <si>
    <t>*Pricing for all states except CA or WA. Must be purchased on a single invoice to receive volume discount price. Purchase tier amount credited for non-agency products is predetermined by Envu. **Must be registered in Envu Horizon and accept current Terms and Conditions to participate. ***Customer Envu Horizon Early Order Program cumulative purchases (Aug. 1 - Dec. 4, 2026) must be $5,000 or more to qualify for program rebates. ++Specticle® FLO is not eligible for Envu Extras or tier rebates. New members signed up before Dec. 31, 2026, will receive 2026 Envu Horizon Early Order Program rebates. All rebates for 2026 Envu Horizon Early Order Program will be paid in points, which can be redeemed for thousands of catalog items, distributor credits and/or company checks (no checks can be issued to a third party). All Products must be invoiced between Oct. 1 and Dec. 4, 2026, to qualify. Rebate calculations will be based on the date of actual product invoice and calculator tools are provided for estimation purposes only. Rebates will only be paid or delivered to the company or name listed on the invoice. Please allow for rebates to be fulfilled by July 31, 2027. End users are only eligible for one Envu incentive program on these invoiced products. Resale of product(s) purchased within this program will not qualify for rebates. If questions arise, please contact Envu Horizon Headquarters at 1-888-456-6464 or email info@envuhorizon.com. Envu reserves the right to modify any portion thereof, or discontinue this program without prior notice.
ALWAYS READ AND FOLLOW LABEL INSTRUCTIONS. Environmental Science U.S. LLC, 5000 CentreGreen Way, Suite 400, Cary, NC 27513. For additional product information, call toll-free 1-800-331-2867. www.envu.com. Not all products are registered in all states. Envu® and the Envu logo are trademarks owned by Environmental Science U.S. LLC or one of its affiliates. Other trademarks are the property of their respective owners. ©2026 Environmental Science U.S. LLC.</t>
  </si>
  <si>
    <t>Agency/TT</t>
  </si>
  <si>
    <t>Description</t>
  </si>
  <si>
    <t>Size</t>
  </si>
  <si>
    <t>Instances</t>
  </si>
  <si>
    <t>MOQ_1</t>
  </si>
  <si>
    <t>MOQ_2</t>
  </si>
  <si>
    <t>MOQ_3</t>
  </si>
  <si>
    <t>MOQ_4</t>
  </si>
  <si>
    <t>REB_MOQ_1</t>
  </si>
  <si>
    <t>REB_MOQ_2</t>
  </si>
  <si>
    <t>REB_MOQ_3</t>
  </si>
  <si>
    <t>REB_MOQ_4</t>
  </si>
  <si>
    <t>Order Form Quantity</t>
  </si>
  <si>
    <t>Qualified Rebate Tier</t>
  </si>
  <si>
    <t>Column1</t>
  </si>
  <si>
    <t>Volume Buy Counter</t>
  </si>
  <si>
    <t>Manufacturer</t>
  </si>
  <si>
    <t>Segment</t>
  </si>
  <si>
    <t>Region</t>
  </si>
  <si>
    <t>Indication</t>
  </si>
  <si>
    <t>Program</t>
  </si>
  <si>
    <t xml:space="preserve">Old Bayer SKU </t>
  </si>
  <si>
    <t>Old Envu SKU</t>
  </si>
  <si>
    <t>SKU</t>
  </si>
  <si>
    <t>Product</t>
  </si>
  <si>
    <t>2026 In-Season Price</t>
  </si>
  <si>
    <t>NOW Price</t>
  </si>
  <si>
    <t>In SZN-NOW delta</t>
  </si>
  <si>
    <t>Min Qty</t>
  </si>
  <si>
    <t>Rebate $</t>
  </si>
  <si>
    <t>Final Price</t>
  </si>
  <si>
    <t>CA In-season Price</t>
  </si>
  <si>
    <t>CA NOW Price</t>
  </si>
  <si>
    <t>CA Final Price</t>
  </si>
  <si>
    <t>WA In-season Price</t>
  </si>
  <si>
    <t>WA NOW Price</t>
  </si>
  <si>
    <t>WA Final Price</t>
  </si>
  <si>
    <t>Package Ounces</t>
  </si>
  <si>
    <t>Standard Use Rate (oz/M)</t>
  </si>
  <si>
    <t>Standard Use Rate (oz/Acre)</t>
  </si>
  <si>
    <t>Price/1000 sq ft</t>
  </si>
  <si>
    <t>Price/Acre</t>
  </si>
  <si>
    <t>Total %</t>
  </si>
  <si>
    <t>*cumlative</t>
  </si>
  <si>
    <t>Set</t>
  </si>
  <si>
    <t>Envu</t>
  </si>
  <si>
    <t>TT</t>
  </si>
  <si>
    <t>GL</t>
  </si>
  <si>
    <t>N</t>
  </si>
  <si>
    <t>H</t>
  </si>
  <si>
    <t>EOP</t>
  </si>
  <si>
    <t>Acclaim Extra®</t>
  </si>
  <si>
    <t>1 gal</t>
  </si>
  <si>
    <t>16 oz</t>
  </si>
  <si>
    <t>A</t>
  </si>
  <si>
    <t>GLO</t>
  </si>
  <si>
    <t>NST</t>
  </si>
  <si>
    <t>I</t>
  </si>
  <si>
    <t>EOP/ORN</t>
  </si>
  <si>
    <t>84989509</t>
  </si>
  <si>
    <t>Altus®</t>
  </si>
  <si>
    <t>64 oz</t>
  </si>
  <si>
    <t>1-15</t>
  </si>
  <si>
    <t>16-31</t>
  </si>
  <si>
    <t>32+</t>
  </si>
  <si>
    <t>L</t>
  </si>
  <si>
    <t>F</t>
  </si>
  <si>
    <t>80224672</t>
  </si>
  <si>
    <t xml:space="preserve">Armada® 50 WDG </t>
  </si>
  <si>
    <t>2 lb</t>
  </si>
  <si>
    <t>ST</t>
  </si>
  <si>
    <t xml:space="preserve">Blindside® Herbicide </t>
  </si>
  <si>
    <t>0.5 lb</t>
  </si>
  <si>
    <t>NOW</t>
  </si>
  <si>
    <t>Celsius® WG</t>
  </si>
  <si>
    <t>10 oz</t>
  </si>
  <si>
    <t>1-16</t>
  </si>
  <si>
    <t>16+</t>
  </si>
  <si>
    <t>86773201</t>
  </si>
  <si>
    <t>Celsius® XTRA</t>
  </si>
  <si>
    <t>FMC</t>
  </si>
  <si>
    <t>Dismiss® CA Herbicide</t>
  </si>
  <si>
    <t>6 oz</t>
  </si>
  <si>
    <t>Dismiss® NXT Herbicide</t>
  </si>
  <si>
    <t>60 oz</t>
  </si>
  <si>
    <t>1-3</t>
  </si>
  <si>
    <t>4+</t>
  </si>
  <si>
    <t>Dismiss® South Herbicide</t>
  </si>
  <si>
    <t xml:space="preserve">1 pint </t>
  </si>
  <si>
    <t>Dismiss® Turf Herbicide</t>
  </si>
  <si>
    <t>Durentis® 0.058% On-Fertilizer</t>
  </si>
  <si>
    <t>50 lb</t>
  </si>
  <si>
    <t>Durentis® 0.067% On-Fertilizer</t>
  </si>
  <si>
    <t xml:space="preserve">Durentis® Insecticide  </t>
  </si>
  <si>
    <t>2-3</t>
  </si>
  <si>
    <t>86248913</t>
  </si>
  <si>
    <t xml:space="preserve">Dylox® 420 SL </t>
  </si>
  <si>
    <t xml:space="preserve">2.5 gal </t>
  </si>
  <si>
    <t>Dylox® 6.2 G</t>
  </si>
  <si>
    <t>30 lb</t>
  </si>
  <si>
    <t>Echelon® 4SC Herbicide</t>
  </si>
  <si>
    <t>1-7</t>
  </si>
  <si>
    <t>8+</t>
  </si>
  <si>
    <t>Fame® SC Fungicide</t>
  </si>
  <si>
    <t>2.5 gal</t>
  </si>
  <si>
    <t>02406377</t>
  </si>
  <si>
    <t>Merit® 2F®</t>
  </si>
  <si>
    <t>Merit WP 75</t>
  </si>
  <si>
    <t>1.6 oz</t>
  </si>
  <si>
    <t xml:space="preserve">QuickSilver® Herbicide </t>
  </si>
  <si>
    <t>8 oz</t>
  </si>
  <si>
    <t>Revolver®</t>
  </si>
  <si>
    <t>32 fl oz</t>
  </si>
  <si>
    <t>87 fl oz</t>
  </si>
  <si>
    <t>1-5</t>
  </si>
  <si>
    <t>6+</t>
  </si>
  <si>
    <t>Scion® with UVX Technology</t>
  </si>
  <si>
    <t>32 oz</t>
  </si>
  <si>
    <t xml:space="preserve">Solitare® Herbicide </t>
  </si>
  <si>
    <t xml:space="preserve">1 lb </t>
  </si>
  <si>
    <t>4 lb</t>
  </si>
  <si>
    <t>Solitare® WSL Herbicide</t>
  </si>
  <si>
    <t xml:space="preserve">0.75 gal </t>
  </si>
  <si>
    <t>1+</t>
  </si>
  <si>
    <t xml:space="preserve">Specticle® FLO </t>
  </si>
  <si>
    <t>18 oz</t>
  </si>
  <si>
    <t>1-6</t>
  </si>
  <si>
    <t>86775387</t>
  </si>
  <si>
    <t>7-13</t>
  </si>
  <si>
    <t>14-25</t>
  </si>
  <si>
    <t>26+</t>
  </si>
  <si>
    <t>84056146</t>
  </si>
  <si>
    <t>Specticle® G</t>
  </si>
  <si>
    <t>1-39</t>
  </si>
  <si>
    <t>40+</t>
  </si>
  <si>
    <t>NT</t>
  </si>
  <si>
    <t>Terradex®  Power Premix</t>
  </si>
  <si>
    <t>150 gal</t>
  </si>
  <si>
    <t>30 gal</t>
  </si>
  <si>
    <t>Terradex®  Quick Strike</t>
  </si>
  <si>
    <t>Tetrino®</t>
  </si>
  <si>
    <t> 1 gal</t>
  </si>
  <si>
    <t>1-4</t>
  </si>
  <si>
    <t>5+</t>
  </si>
  <si>
    <t>79982844</t>
  </si>
  <si>
    <t>TopChoice®</t>
  </si>
  <si>
    <t>Tribute® Total</t>
  </si>
  <si>
    <t xml:space="preserve">Triple Crown® T&amp;O Insecticide </t>
  </si>
  <si>
    <t xml:space="preserve">1 gal </t>
  </si>
  <si>
    <t>Xonerate® 2SC Herbicide</t>
  </si>
  <si>
    <t>12 oz</t>
  </si>
  <si>
    <t>1-23</t>
  </si>
  <si>
    <t>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</si>
</sst>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_);[Red]\(&quot;$&quot;#,##0.00\)"/>
    <numFmt numFmtId="44" formatCode="_(&quot;$&quot;* #,##0.00_);_(&quot;$&quot;* \(#,##0.00\);_(&quot;$&quot;* &quot;-&quot;??_);_(@_)"/>
    <numFmt numFmtId="164" formatCode="_ &quot;₹&quot;\ * #,##0.00_ ;_ &quot;₹&quot;\ * \-#,##0.00_ ;_ &quot;₹&quot;\ * &quot;-&quot;??_ ;_ @_ "/>
    <numFmt numFmtId="165" formatCode="&quot;$&quot;#,##0.00"/>
    <numFmt numFmtId="166" formatCode="\$\ #,##0.00"/>
    <numFmt numFmtId="167" formatCode="0.00######"/>
    <numFmt numFmtId="168" formatCode="0.0%"/>
    <numFmt numFmtId="169" formatCode="_-[$$-409]* #,##0.00_ ;_-[$$-409]* \-#,##0.00\ ;_-[$$-409]* &quot;-&quot;??_ ;_-@_ "/>
    <numFmt numFmtId="170" formatCode="_(* #,##0.0_);_(* \(#,##0.0\);_(* &quot;-&quot;??_);_(@_)"/>
  </numFmts>
  <fonts count="50" x14ac:knownFonts="1">
    <font>
      <sz val="11"/>
      <color theme="1"/>
      <name val="Aptos Narrow"/>
      <family val="2"/>
      <scheme val="minor"/>
    </font>
    <font>
      <sz val="11"/>
      <color theme="1"/>
      <name val="Aptos Narrow"/>
      <family val="2"/>
      <scheme val="minor"/>
    </font>
    <font>
      <sz val="11"/>
      <color theme="1"/>
      <name val="Calibri"/>
      <family val="2"/>
    </font>
    <font>
      <b/>
      <sz val="11"/>
      <color theme="1"/>
      <name val="Calibri"/>
      <family val="2"/>
    </font>
    <font>
      <b/>
      <sz val="11"/>
      <color rgb="FF000000"/>
      <name val="Calibri"/>
      <family val="2"/>
    </font>
    <font>
      <sz val="11"/>
      <name val="Calibri"/>
      <family val="2"/>
    </font>
    <font>
      <sz val="11"/>
      <name val="Aptos Narrow"/>
      <family val="2"/>
    </font>
    <font>
      <sz val="11"/>
      <name val="Aptos Narrow"/>
      <family val="2"/>
      <scheme val="minor"/>
    </font>
    <font>
      <b/>
      <sz val="11"/>
      <color theme="0"/>
      <name val="Calibri"/>
      <family val="2"/>
    </font>
    <font>
      <sz val="8"/>
      <name val="Aptos Narrow"/>
      <family val="2"/>
      <scheme val="minor"/>
    </font>
    <font>
      <sz val="10"/>
      <color rgb="FF000000"/>
      <name val="Calibri"/>
      <family val="2"/>
    </font>
    <font>
      <b/>
      <sz val="14"/>
      <color theme="0"/>
      <name val="Arial"/>
      <family val="2"/>
    </font>
    <font>
      <b/>
      <u/>
      <sz val="10"/>
      <color rgb="FF000000"/>
      <name val="Calibri"/>
      <family val="2"/>
    </font>
    <font>
      <b/>
      <sz val="10"/>
      <color rgb="FF000000"/>
      <name val="Calibri"/>
      <family val="2"/>
    </font>
    <font>
      <sz val="11"/>
      <color rgb="FF7030A0"/>
      <name val="Calibri"/>
      <family val="2"/>
    </font>
    <font>
      <sz val="10"/>
      <color rgb="FFF5EBFF"/>
      <name val="Calibri"/>
      <family val="2"/>
    </font>
    <font>
      <i/>
      <sz val="10"/>
      <color rgb="FF000000"/>
      <name val="Calibri"/>
      <family val="2"/>
    </font>
    <font>
      <b/>
      <i/>
      <sz val="10"/>
      <color theme="2" tint="-0.499984740745262"/>
      <name val="Calibri"/>
      <family val="2"/>
    </font>
    <font>
      <b/>
      <sz val="10"/>
      <color rgb="FFC00000"/>
      <name val="Calibri"/>
      <family val="2"/>
    </font>
    <font>
      <sz val="10"/>
      <color theme="0"/>
      <name val="Calibri"/>
      <family val="2"/>
    </font>
    <font>
      <b/>
      <sz val="9"/>
      <color rgb="FF000000"/>
      <name val="Calibri"/>
      <family val="2"/>
    </font>
    <font>
      <sz val="8"/>
      <color rgb="FF000000"/>
      <name val="Calibri"/>
      <family val="2"/>
    </font>
    <font>
      <b/>
      <vertAlign val="superscript"/>
      <sz val="9"/>
      <color rgb="FF000000"/>
      <name val="Calibri"/>
      <family val="2"/>
    </font>
    <font>
      <b/>
      <sz val="16"/>
      <color rgb="FF000000"/>
      <name val="Calibri"/>
      <family val="2"/>
    </font>
    <font>
      <sz val="9"/>
      <color rgb="FF000000"/>
      <name val="Calibri"/>
      <family val="2"/>
    </font>
    <font>
      <sz val="16"/>
      <color rgb="FF000000"/>
      <name val="Calibri"/>
      <family val="2"/>
    </font>
    <font>
      <sz val="14"/>
      <color rgb="FF000000"/>
      <name val="Calibri"/>
      <family val="2"/>
    </font>
    <font>
      <b/>
      <sz val="18"/>
      <color theme="0"/>
      <name val="Calibri"/>
      <family val="2"/>
    </font>
    <font>
      <b/>
      <i/>
      <sz val="8"/>
      <color rgb="FF000000"/>
      <name val="Calibri"/>
      <family val="2"/>
    </font>
    <font>
      <sz val="10"/>
      <color theme="1"/>
      <name val="Calibri"/>
      <family val="2"/>
    </font>
    <font>
      <sz val="12"/>
      <color rgb="FF000000"/>
      <name val="Calibri"/>
      <family val="2"/>
    </font>
    <font>
      <b/>
      <sz val="14"/>
      <color theme="0"/>
      <name val="Calibri"/>
      <family val="2"/>
    </font>
    <font>
      <sz val="8"/>
      <color rgb="FF000000"/>
      <name val="Aptos Narrow"/>
      <family val="2"/>
    </font>
    <font>
      <sz val="10"/>
      <color theme="2" tint="-0.89999084444715716"/>
      <name val="Calibri"/>
      <family val="2"/>
    </font>
    <font>
      <b/>
      <sz val="11"/>
      <color theme="3" tint="0.249977111117893"/>
      <name val="Calibri"/>
      <family val="2"/>
    </font>
    <font>
      <sz val="18"/>
      <color rgb="FF000000"/>
      <name val="Calibri"/>
      <family val="2"/>
    </font>
    <font>
      <sz val="10"/>
      <name val="Calibri"/>
      <family val="2"/>
    </font>
    <font>
      <b/>
      <sz val="8"/>
      <color rgb="FF000000"/>
      <name val="Calibri"/>
      <family val="2"/>
    </font>
    <font>
      <b/>
      <u/>
      <sz val="11"/>
      <name val="Calibri"/>
      <family val="2"/>
    </font>
    <font>
      <b/>
      <u/>
      <sz val="12"/>
      <name val="Calibri"/>
      <family val="2"/>
    </font>
    <font>
      <b/>
      <i/>
      <sz val="9"/>
      <color rgb="FF000000"/>
      <name val="Calibri"/>
      <family val="2"/>
    </font>
    <font>
      <sz val="9"/>
      <color theme="2" tint="-0.499984740745262"/>
      <name val="Calibri"/>
      <family val="2"/>
    </font>
    <font>
      <sz val="16"/>
      <color theme="0"/>
      <name val="Calibri"/>
      <family val="2"/>
    </font>
    <font>
      <b/>
      <sz val="9"/>
      <color theme="1"/>
      <name val="Calibri"/>
      <family val="2"/>
    </font>
    <font>
      <sz val="9"/>
      <color theme="1"/>
      <name val="Aptos Narrow"/>
      <family val="2"/>
      <scheme val="minor"/>
    </font>
    <font>
      <b/>
      <sz val="11"/>
      <color rgb="FFFA7D00"/>
      <name val="Aptos Narrow"/>
      <family val="2"/>
      <scheme val="minor"/>
    </font>
    <font>
      <sz val="11"/>
      <color rgb="FF006100"/>
      <name val="Aptos Narrow"/>
      <family val="2"/>
      <scheme val="minor"/>
    </font>
    <font>
      <sz val="11"/>
      <color rgb="FF3F3F76"/>
      <name val="Aptos Narrow"/>
      <family val="2"/>
      <scheme val="minor"/>
    </font>
    <font>
      <b/>
      <sz val="11"/>
      <color rgb="FF006100"/>
      <name val="Aptos Narrow"/>
      <family val="2"/>
      <scheme val="minor"/>
    </font>
    <font>
      <sz val="11"/>
      <color rgb="FF000000"/>
      <name val="Aptos Narrow"/>
      <family val="2"/>
      <scheme val="minor"/>
    </font>
  </fonts>
  <fills count="29">
    <fill>
      <patternFill patternType="none"/>
    </fill>
    <fill>
      <patternFill patternType="gray125"/>
    </fill>
    <fill>
      <patternFill patternType="solid">
        <fgColor rgb="FFFFFFCC"/>
      </patternFill>
    </fill>
    <fill>
      <patternFill patternType="solid">
        <fgColor theme="0" tint="-4.9989318521683403E-2"/>
        <bgColor indexed="64"/>
      </patternFill>
    </fill>
    <fill>
      <patternFill patternType="solid">
        <fgColor theme="2" tint="-0.749992370372631"/>
        <bgColor indexed="64"/>
      </patternFill>
    </fill>
    <fill>
      <patternFill patternType="solid">
        <fgColor rgb="FFFFFFFF"/>
      </patternFill>
    </fill>
    <fill>
      <patternFill patternType="solid">
        <fgColor theme="0"/>
        <bgColor indexed="64"/>
      </patternFill>
    </fill>
    <fill>
      <patternFill patternType="solid">
        <fgColor rgb="FFF5EBFF"/>
        <bgColor indexed="64"/>
      </patternFill>
    </fill>
    <fill>
      <patternFill patternType="solid">
        <fgColor rgb="FFFAFAFA"/>
      </patternFill>
    </fill>
    <fill>
      <patternFill patternType="solid">
        <fgColor rgb="FFF9F3FF"/>
        <bgColor indexed="64"/>
      </patternFill>
    </fill>
    <fill>
      <patternFill patternType="solid">
        <fgColor theme="1"/>
        <bgColor indexed="64"/>
      </patternFill>
    </fill>
    <fill>
      <patternFill patternType="solid">
        <fgColor rgb="FFDEE2E6"/>
      </patternFill>
    </fill>
    <fill>
      <patternFill patternType="solid">
        <fgColor theme="0" tint="-0.14999847407452621"/>
        <bgColor indexed="64"/>
      </patternFill>
    </fill>
    <fill>
      <patternFill patternType="solid">
        <fgColor theme="1" tint="0.14999847407452621"/>
        <bgColor indexed="64"/>
      </patternFill>
    </fill>
    <fill>
      <patternFill patternType="solid">
        <fgColor rgb="FFFFFFCC"/>
        <bgColor indexed="64"/>
      </patternFill>
    </fill>
    <fill>
      <patternFill patternType="solid">
        <fgColor rgb="FF7030A0"/>
        <bgColor indexed="64"/>
      </patternFill>
    </fill>
    <fill>
      <patternFill patternType="solid">
        <fgColor theme="0"/>
        <bgColor theme="4" tint="0.79998168889431442"/>
      </patternFill>
    </fill>
    <fill>
      <patternFill patternType="solid">
        <fgColor rgb="FFFFF4D6"/>
        <bgColor indexed="64"/>
      </patternFill>
    </fill>
    <fill>
      <patternFill patternType="solid">
        <fgColor theme="2" tint="-0.249977111117893"/>
        <bgColor indexed="64"/>
      </patternFill>
    </fill>
    <fill>
      <patternFill patternType="solid">
        <fgColor theme="1"/>
        <bgColor theme="4"/>
      </patternFill>
    </fill>
    <fill>
      <patternFill patternType="solid">
        <fgColor rgb="FF774EA4"/>
        <bgColor indexed="64"/>
      </patternFill>
    </fill>
    <fill>
      <patternFill patternType="solid">
        <fgColor rgb="FFF2F2F2"/>
      </patternFill>
    </fill>
    <fill>
      <patternFill patternType="solid">
        <fgColor rgb="FFFFFF00"/>
        <bgColor indexed="64"/>
      </patternFill>
    </fill>
    <fill>
      <patternFill patternType="solid">
        <fgColor rgb="FFC6EFCE"/>
      </patternFill>
    </fill>
    <fill>
      <patternFill patternType="solid">
        <fgColor rgb="FFFFCC99"/>
      </patternFill>
    </fill>
    <fill>
      <patternFill patternType="solid">
        <fgColor theme="8" tint="0.39997558519241921"/>
        <bgColor indexed="64"/>
      </patternFill>
    </fill>
    <fill>
      <patternFill patternType="solid">
        <fgColor theme="0"/>
      </patternFill>
    </fill>
    <fill>
      <patternFill patternType="solid">
        <fgColor rgb="FFC0E6F5"/>
        <bgColor rgb="FFC0E6F5"/>
      </patternFill>
    </fill>
    <fill>
      <patternFill patternType="solid">
        <fgColor rgb="FFE97132"/>
        <bgColor rgb="FF000000"/>
      </patternFill>
    </fill>
  </fills>
  <borders count="9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right style="thin">
        <color indexed="64"/>
      </right>
      <top/>
      <bottom/>
      <diagonal/>
    </border>
    <border>
      <left style="thick">
        <color indexed="64"/>
      </left>
      <right style="thick">
        <color indexed="64"/>
      </right>
      <top style="thick">
        <color indexed="64"/>
      </top>
      <bottom style="thin">
        <color auto="1"/>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n">
        <color auto="1"/>
      </right>
      <top style="thick">
        <color indexed="64"/>
      </top>
      <bottom/>
      <diagonal/>
    </border>
    <border>
      <left style="thin">
        <color auto="1"/>
      </left>
      <right style="thick">
        <color indexed="64"/>
      </right>
      <top style="thick">
        <color indexed="64"/>
      </top>
      <bottom style="thin">
        <color auto="1"/>
      </bottom>
      <diagonal/>
    </border>
    <border>
      <left style="thick">
        <color indexed="64"/>
      </left>
      <right style="thin">
        <color auto="1"/>
      </right>
      <top style="thick">
        <color indexed="64"/>
      </top>
      <bottom/>
      <diagonal/>
    </border>
    <border>
      <left style="thin">
        <color rgb="FF777777"/>
      </left>
      <right style="thin">
        <color rgb="FF777777"/>
      </right>
      <top style="thin">
        <color rgb="FF777777"/>
      </top>
      <bottom style="thin">
        <color rgb="FF777777"/>
      </bottom>
      <diagonal/>
    </border>
    <border>
      <left style="thick">
        <color indexed="64"/>
      </left>
      <right style="thick">
        <color indexed="64"/>
      </right>
      <top style="thin">
        <color auto="1"/>
      </top>
      <bottom style="thin">
        <color auto="1"/>
      </bottom>
      <diagonal/>
    </border>
    <border>
      <left style="thick">
        <color indexed="64"/>
      </left>
      <right style="thin">
        <color auto="1"/>
      </right>
      <top style="thin">
        <color auto="1"/>
      </top>
      <bottom style="thin">
        <color auto="1"/>
      </bottom>
      <diagonal/>
    </border>
    <border>
      <left style="thin">
        <color indexed="64"/>
      </left>
      <right style="thin">
        <color indexed="64"/>
      </right>
      <top/>
      <bottom/>
      <diagonal/>
    </border>
    <border>
      <left style="thin">
        <color auto="1"/>
      </left>
      <right style="thick">
        <color indexed="64"/>
      </right>
      <top style="thin">
        <color auto="1"/>
      </top>
      <bottom style="thin">
        <color auto="1"/>
      </bottom>
      <diagonal/>
    </border>
    <border>
      <left style="thick">
        <color indexed="64"/>
      </left>
      <right style="thin">
        <color auto="1"/>
      </right>
      <top/>
      <bottom/>
      <diagonal/>
    </border>
    <border>
      <left style="thick">
        <color indexed="64"/>
      </left>
      <right style="thick">
        <color indexed="64"/>
      </right>
      <top style="thin">
        <color auto="1"/>
      </top>
      <bottom style="thick">
        <color indexed="64"/>
      </bottom>
      <diagonal/>
    </border>
    <border>
      <left style="thick">
        <color indexed="64"/>
      </left>
      <right style="thin">
        <color auto="1"/>
      </right>
      <top style="thin">
        <color auto="1"/>
      </top>
      <bottom style="thick">
        <color indexed="64"/>
      </bottom>
      <diagonal/>
    </border>
    <border>
      <left style="thin">
        <color auto="1"/>
      </left>
      <right style="thin">
        <color auto="1"/>
      </right>
      <top style="thin">
        <color auto="1"/>
      </top>
      <bottom style="thick">
        <color indexed="64"/>
      </bottom>
      <diagonal/>
    </border>
    <border>
      <left style="thin">
        <color auto="1"/>
      </left>
      <right style="thin">
        <color auto="1"/>
      </right>
      <top/>
      <bottom style="thick">
        <color indexed="64"/>
      </bottom>
      <diagonal/>
    </border>
    <border>
      <left style="thin">
        <color auto="1"/>
      </left>
      <right style="thick">
        <color indexed="64"/>
      </right>
      <top style="thin">
        <color auto="1"/>
      </top>
      <bottom style="thick">
        <color indexed="64"/>
      </bottom>
      <diagonal/>
    </border>
    <border>
      <left style="thick">
        <color indexed="64"/>
      </left>
      <right style="thin">
        <color auto="1"/>
      </right>
      <top/>
      <bottom style="thick">
        <color indexed="64"/>
      </bottom>
      <diagonal/>
    </border>
    <border>
      <left style="thin">
        <color indexed="64"/>
      </left>
      <right style="thick">
        <color indexed="64"/>
      </right>
      <top/>
      <bottom style="thin">
        <color indexed="64"/>
      </bottom>
      <diagonal/>
    </border>
    <border>
      <left style="thick">
        <color indexed="64"/>
      </left>
      <right/>
      <top style="thin">
        <color indexed="64"/>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top/>
      <bottom style="medium">
        <color theme="4"/>
      </bottom>
      <diagonal/>
    </border>
    <border>
      <left/>
      <right/>
      <top style="medium">
        <color theme="4"/>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ck">
        <color rgb="FF66B512"/>
      </bottom>
      <diagonal/>
    </border>
    <border>
      <left/>
      <right/>
      <top style="thick">
        <color rgb="FF66B512"/>
      </top>
      <bottom/>
      <diagonal/>
    </border>
    <border>
      <left style="thin">
        <color indexed="64"/>
      </left>
      <right style="thin">
        <color indexed="64"/>
      </right>
      <top style="thin">
        <color indexed="64"/>
      </top>
      <bottom/>
      <diagonal/>
    </border>
    <border>
      <left style="medium">
        <color indexed="64"/>
      </left>
      <right style="thin">
        <color rgb="FF777777"/>
      </right>
      <top/>
      <bottom style="thin">
        <color rgb="FF777777"/>
      </bottom>
      <diagonal/>
    </border>
    <border>
      <left style="thin">
        <color rgb="FF777777"/>
      </left>
      <right style="thin">
        <color rgb="FF777777"/>
      </right>
      <top/>
      <bottom style="thin">
        <color rgb="FF777777"/>
      </bottom>
      <diagonal/>
    </border>
    <border>
      <left style="thin">
        <color rgb="FF777777"/>
      </left>
      <right/>
      <top/>
      <bottom style="thin">
        <color rgb="FF777777"/>
      </bottom>
      <diagonal/>
    </border>
    <border>
      <left style="thin">
        <color rgb="FF777777"/>
      </left>
      <right style="medium">
        <color indexed="64"/>
      </right>
      <top/>
      <bottom style="thin">
        <color rgb="FF777777"/>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rgb="FF777777"/>
      </right>
      <top style="medium">
        <color indexed="64"/>
      </top>
      <bottom style="thin">
        <color rgb="FF777777"/>
      </bottom>
      <diagonal/>
    </border>
    <border>
      <left style="thin">
        <color rgb="FF777777"/>
      </left>
      <right style="thin">
        <color rgb="FF777777"/>
      </right>
      <top style="medium">
        <color indexed="64"/>
      </top>
      <bottom style="thin">
        <color rgb="FF777777"/>
      </bottom>
      <diagonal/>
    </border>
    <border>
      <left style="thin">
        <color rgb="FF777777"/>
      </left>
      <right style="medium">
        <color indexed="64"/>
      </right>
      <top style="medium">
        <color indexed="64"/>
      </top>
      <bottom style="thin">
        <color rgb="FF777777"/>
      </bottom>
      <diagonal/>
    </border>
    <border>
      <left style="medium">
        <color indexed="64"/>
      </left>
      <right style="thin">
        <color rgb="FF777777"/>
      </right>
      <top style="thin">
        <color rgb="FF777777"/>
      </top>
      <bottom style="thin">
        <color rgb="FF777777"/>
      </bottom>
      <diagonal/>
    </border>
    <border>
      <left style="thin">
        <color rgb="FF777777"/>
      </left>
      <right style="medium">
        <color indexed="64"/>
      </right>
      <top style="thin">
        <color rgb="FF777777"/>
      </top>
      <bottom style="thin">
        <color rgb="FF777777"/>
      </bottom>
      <diagonal/>
    </border>
    <border>
      <left/>
      <right style="medium">
        <color indexed="64"/>
      </right>
      <top style="medium">
        <color indexed="64"/>
      </top>
      <bottom/>
      <diagonal/>
    </border>
    <border>
      <left/>
      <right/>
      <top style="thin">
        <color theme="1"/>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medium">
        <color indexed="64"/>
      </left>
      <right/>
      <top style="thin">
        <color theme="1"/>
      </top>
      <bottom style="thin">
        <color theme="4" tint="0.39997558519241921"/>
      </bottom>
      <diagonal/>
    </border>
    <border>
      <left style="medium">
        <color indexed="64"/>
      </left>
      <right/>
      <top style="thin">
        <color theme="1"/>
      </top>
      <bottom style="medium">
        <color indexed="64"/>
      </bottom>
      <diagonal/>
    </border>
    <border>
      <left/>
      <right/>
      <top style="thin">
        <color theme="4" tint="0.39997558519241921"/>
      </top>
      <bottom style="thin">
        <color theme="4" tint="0.39997558519241921"/>
      </bottom>
      <diagonal/>
    </border>
    <border>
      <left style="medium">
        <color indexed="64"/>
      </left>
      <right style="thin">
        <color rgb="FF777777"/>
      </right>
      <top style="thin">
        <color rgb="FF777777"/>
      </top>
      <bottom/>
      <diagonal/>
    </border>
    <border>
      <left style="thin">
        <color rgb="FF777777"/>
      </left>
      <right style="medium">
        <color indexed="64"/>
      </right>
      <top style="thin">
        <color rgb="FF777777"/>
      </top>
      <bottom/>
      <diagonal/>
    </border>
    <border>
      <left style="medium">
        <color indexed="64"/>
      </left>
      <right style="medium">
        <color indexed="64"/>
      </right>
      <top style="medium">
        <color indexed="64"/>
      </top>
      <bottom style="medium">
        <color indexed="64"/>
      </bottom>
      <diagonal/>
    </border>
    <border>
      <left style="thin">
        <color rgb="FF777777"/>
      </left>
      <right style="thin">
        <color rgb="FF777777"/>
      </right>
      <top style="thin">
        <color rgb="FF777777"/>
      </top>
      <bottom/>
      <diagonal/>
    </border>
    <border>
      <left style="medium">
        <color indexed="64"/>
      </left>
      <right style="thin">
        <color rgb="FF777777"/>
      </right>
      <top/>
      <bottom style="medium">
        <color indexed="64"/>
      </bottom>
      <diagonal/>
    </border>
    <border>
      <left style="thin">
        <color rgb="FF777777"/>
      </left>
      <right style="thin">
        <color rgb="FF777777"/>
      </right>
      <top/>
      <bottom style="medium">
        <color indexed="64"/>
      </bottom>
      <diagonal/>
    </border>
    <border>
      <left style="thin">
        <color rgb="FF777777"/>
      </left>
      <right/>
      <top/>
      <bottom style="medium">
        <color indexed="64"/>
      </bottom>
      <diagonal/>
    </border>
    <border>
      <left style="thin">
        <color rgb="FF777777"/>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rgb="FF777777"/>
      </bottom>
      <diagonal/>
    </border>
  </borders>
  <cellStyleXfs count="10">
    <xf numFmtId="0" fontId="0" fillId="0" borderId="0"/>
    <xf numFmtId="9" fontId="1" fillId="0" borderId="0" applyFont="0" applyFill="0" applyBorder="0" applyAlignment="0" applyProtection="0"/>
    <xf numFmtId="0" fontId="2" fillId="0" borderId="0"/>
    <xf numFmtId="44" fontId="2" fillId="0" borderId="0" applyFont="0" applyFill="0" applyBorder="0" applyAlignment="0" applyProtection="0"/>
    <xf numFmtId="44" fontId="2" fillId="0" borderId="0" applyFont="0" applyFill="0" applyBorder="0" applyAlignment="0" applyProtection="0"/>
    <xf numFmtId="0" fontId="2" fillId="0" borderId="0"/>
    <xf numFmtId="0" fontId="45" fillId="21" borderId="74" applyNumberFormat="0" applyAlignment="0" applyProtection="0"/>
    <xf numFmtId="164" fontId="1" fillId="0" borderId="0" applyFont="0" applyFill="0" applyBorder="0" applyAlignment="0" applyProtection="0"/>
    <xf numFmtId="0" fontId="46" fillId="23" borderId="0" applyNumberFormat="0" applyBorder="0" applyAlignment="0" applyProtection="0"/>
    <xf numFmtId="0" fontId="47" fillId="24" borderId="74" applyNumberFormat="0" applyAlignment="0" applyProtection="0"/>
  </cellStyleXfs>
  <cellXfs count="406">
    <xf numFmtId="0" fontId="0" fillId="0" borderId="0" xfId="0"/>
    <xf numFmtId="0" fontId="0" fillId="0" borderId="0" xfId="0" applyAlignment="1">
      <alignment horizontal="center"/>
    </xf>
    <xf numFmtId="0" fontId="0" fillId="0" borderId="1" xfId="0" applyBorder="1"/>
    <xf numFmtId="0" fontId="0" fillId="0" borderId="2" xfId="0" applyBorder="1"/>
    <xf numFmtId="0" fontId="4" fillId="3" borderId="5" xfId="0" applyFont="1" applyFill="1" applyBorder="1" applyAlignment="1">
      <alignment horizontal="left"/>
    </xf>
    <xf numFmtId="0" fontId="4" fillId="3" borderId="4" xfId="0" applyFont="1" applyFill="1" applyBorder="1" applyAlignment="1">
      <alignment horizontal="left"/>
    </xf>
    <xf numFmtId="0" fontId="4" fillId="3" borderId="4" xfId="0" applyFont="1" applyFill="1" applyBorder="1"/>
    <xf numFmtId="0" fontId="4" fillId="3" borderId="4" xfId="0" applyFont="1" applyFill="1" applyBorder="1" applyAlignment="1">
      <alignment horizontal="center"/>
    </xf>
    <xf numFmtId="0" fontId="8" fillId="4" borderId="4" xfId="0" applyFont="1" applyFill="1" applyBorder="1"/>
    <xf numFmtId="0" fontId="4" fillId="3" borderId="6" xfId="0" applyFont="1" applyFill="1" applyBorder="1"/>
    <xf numFmtId="0" fontId="10" fillId="5" borderId="0" xfId="0" applyFont="1" applyFill="1" applyProtection="1">
      <protection hidden="1"/>
    </xf>
    <xf numFmtId="0" fontId="10" fillId="6" borderId="0" xfId="0" applyFont="1" applyFill="1" applyProtection="1">
      <protection hidden="1"/>
    </xf>
    <xf numFmtId="0" fontId="11" fillId="6" borderId="0" xfId="0" applyFont="1" applyFill="1" applyAlignment="1" applyProtection="1">
      <alignment horizontal="left" vertical="center" wrapText="1"/>
      <protection hidden="1"/>
    </xf>
    <xf numFmtId="166" fontId="10" fillId="6" borderId="0" xfId="0" applyNumberFormat="1" applyFont="1" applyFill="1" applyProtection="1">
      <protection hidden="1"/>
    </xf>
    <xf numFmtId="167" fontId="10" fillId="6" borderId="0" xfId="0" applyNumberFormat="1" applyFont="1" applyFill="1" applyProtection="1">
      <protection hidden="1"/>
    </xf>
    <xf numFmtId="2" fontId="10" fillId="6" borderId="0" xfId="0" applyNumberFormat="1" applyFont="1" applyFill="1" applyProtection="1">
      <protection hidden="1"/>
    </xf>
    <xf numFmtId="167" fontId="10" fillId="5" borderId="0" xfId="0" applyNumberFormat="1" applyFont="1" applyFill="1" applyProtection="1">
      <protection hidden="1"/>
    </xf>
    <xf numFmtId="166" fontId="10" fillId="5" borderId="0" xfId="0" applyNumberFormat="1" applyFont="1" applyFill="1" applyProtection="1">
      <protection hidden="1"/>
    </xf>
    <xf numFmtId="166" fontId="3" fillId="6" borderId="0" xfId="0" applyNumberFormat="1" applyFont="1" applyFill="1" applyAlignment="1" applyProtection="1">
      <alignment vertical="center"/>
      <protection hidden="1"/>
    </xf>
    <xf numFmtId="166" fontId="12" fillId="7" borderId="0" xfId="0" applyNumberFormat="1" applyFont="1" applyFill="1" applyAlignment="1" applyProtection="1">
      <alignment horizontal="centerContinuous" vertical="center"/>
      <protection hidden="1"/>
    </xf>
    <xf numFmtId="166" fontId="13" fillId="7" borderId="0" xfId="0" applyNumberFormat="1" applyFont="1" applyFill="1" applyAlignment="1" applyProtection="1">
      <alignment horizontal="centerContinuous" vertical="center"/>
      <protection hidden="1"/>
    </xf>
    <xf numFmtId="166" fontId="13" fillId="6" borderId="0" xfId="0" applyNumberFormat="1" applyFont="1" applyFill="1" applyAlignment="1" applyProtection="1">
      <alignment horizontal="right" vertical="center" indent="1"/>
      <protection hidden="1"/>
    </xf>
    <xf numFmtId="166" fontId="10" fillId="3" borderId="1" xfId="0" quotePrefix="1" applyNumberFormat="1" applyFont="1" applyFill="1" applyBorder="1" applyAlignment="1" applyProtection="1">
      <alignment horizontal="center" vertical="center"/>
      <protection hidden="1"/>
    </xf>
    <xf numFmtId="0" fontId="10" fillId="8" borderId="9" xfId="0" applyFont="1" applyFill="1" applyBorder="1" applyAlignment="1" applyProtection="1">
      <alignment horizontal="center" vertical="center" wrapText="1"/>
      <protection hidden="1"/>
    </xf>
    <xf numFmtId="168" fontId="10" fillId="5" borderId="1" xfId="0" applyNumberFormat="1" applyFont="1" applyFill="1" applyBorder="1" applyAlignment="1" applyProtection="1">
      <alignment horizontal="center" vertical="center"/>
      <protection hidden="1"/>
    </xf>
    <xf numFmtId="0" fontId="10" fillId="8" borderId="11" xfId="0" applyFont="1" applyFill="1" applyBorder="1" applyAlignment="1" applyProtection="1">
      <alignment horizontal="center" vertical="center" wrapText="1"/>
      <protection hidden="1"/>
    </xf>
    <xf numFmtId="166" fontId="15" fillId="7" borderId="0" xfId="0" applyNumberFormat="1" applyFont="1" applyFill="1" applyProtection="1">
      <protection hidden="1"/>
    </xf>
    <xf numFmtId="2" fontId="15" fillId="7" borderId="0" xfId="0" applyNumberFormat="1" applyFont="1" applyFill="1" applyProtection="1">
      <protection hidden="1"/>
    </xf>
    <xf numFmtId="0" fontId="10" fillId="5" borderId="2" xfId="0" applyFont="1" applyFill="1" applyBorder="1" applyAlignment="1" applyProtection="1">
      <alignment horizontal="center" vertical="center" wrapText="1"/>
      <protection hidden="1"/>
    </xf>
    <xf numFmtId="167" fontId="17" fillId="7" borderId="0" xfId="0" applyNumberFormat="1" applyFont="1" applyFill="1" applyAlignment="1" applyProtection="1">
      <alignment horizontal="centerContinuous" vertical="center"/>
      <protection hidden="1"/>
    </xf>
    <xf numFmtId="167" fontId="10" fillId="7" borderId="0" xfId="0" applyNumberFormat="1" applyFont="1" applyFill="1" applyAlignment="1" applyProtection="1">
      <alignment horizontal="centerContinuous"/>
      <protection hidden="1"/>
    </xf>
    <xf numFmtId="2" fontId="10" fillId="7" borderId="0" xfId="0" applyNumberFormat="1" applyFont="1" applyFill="1" applyAlignment="1" applyProtection="1">
      <alignment horizontal="centerContinuous"/>
      <protection hidden="1"/>
    </xf>
    <xf numFmtId="0" fontId="18" fillId="5" borderId="0" xfId="0" applyFont="1" applyFill="1" applyAlignment="1" applyProtection="1">
      <alignment horizontal="center"/>
      <protection hidden="1"/>
    </xf>
    <xf numFmtId="167" fontId="19" fillId="10" borderId="0" xfId="0" applyNumberFormat="1" applyFont="1" applyFill="1" applyAlignment="1" applyProtection="1">
      <alignment horizontal="center"/>
      <protection hidden="1"/>
    </xf>
    <xf numFmtId="0" fontId="19" fillId="5" borderId="0" xfId="0" applyFont="1" applyFill="1" applyProtection="1">
      <protection hidden="1"/>
    </xf>
    <xf numFmtId="167" fontId="19" fillId="5" borderId="0" xfId="0" applyNumberFormat="1" applyFont="1" applyFill="1" applyProtection="1">
      <protection hidden="1"/>
    </xf>
    <xf numFmtId="0" fontId="19" fillId="0" borderId="0" xfId="0" applyFont="1" applyProtection="1">
      <protection hidden="1"/>
    </xf>
    <xf numFmtId="0" fontId="10" fillId="8" borderId="4" xfId="0" applyFont="1" applyFill="1" applyBorder="1" applyAlignment="1" applyProtection="1">
      <alignment horizontal="center" vertical="center"/>
      <protection hidden="1"/>
    </xf>
    <xf numFmtId="166" fontId="10" fillId="5" borderId="4" xfId="0" applyNumberFormat="1" applyFont="1" applyFill="1" applyBorder="1" applyAlignment="1" applyProtection="1">
      <alignment horizontal="center" vertical="center"/>
      <protection hidden="1"/>
    </xf>
    <xf numFmtId="166" fontId="10" fillId="8" borderId="4" xfId="0" applyNumberFormat="1" applyFont="1" applyFill="1" applyBorder="1" applyAlignment="1" applyProtection="1">
      <alignment horizontal="center" vertical="center"/>
      <protection hidden="1"/>
    </xf>
    <xf numFmtId="3" fontId="10" fillId="8" borderId="4" xfId="0" applyNumberFormat="1" applyFont="1" applyFill="1" applyBorder="1" applyAlignment="1" applyProtection="1">
      <alignment horizontal="center" vertical="center"/>
      <protection hidden="1"/>
    </xf>
    <xf numFmtId="165" fontId="10" fillId="8" borderId="4" xfId="0" applyNumberFormat="1" applyFont="1" applyFill="1" applyBorder="1" applyAlignment="1" applyProtection="1">
      <alignment horizontal="center" vertical="center"/>
      <protection hidden="1"/>
    </xf>
    <xf numFmtId="166" fontId="10" fillId="8" borderId="34" xfId="0" applyNumberFormat="1" applyFont="1" applyFill="1" applyBorder="1" applyAlignment="1" applyProtection="1">
      <alignment horizontal="center" vertical="center"/>
      <protection hidden="1"/>
    </xf>
    <xf numFmtId="2" fontId="10" fillId="3" borderId="1" xfId="0" applyNumberFormat="1" applyFont="1" applyFill="1" applyBorder="1" applyAlignment="1" applyProtection="1">
      <alignment horizontal="center" vertical="center"/>
      <protection hidden="1"/>
    </xf>
    <xf numFmtId="0" fontId="10" fillId="8" borderId="24" xfId="0" applyFont="1" applyFill="1" applyBorder="1" applyAlignment="1" applyProtection="1">
      <alignment horizontal="left" vertical="center" indent="2"/>
      <protection hidden="1"/>
    </xf>
    <xf numFmtId="0" fontId="10" fillId="8" borderId="1" xfId="0" applyFont="1" applyFill="1" applyBorder="1" applyAlignment="1" applyProtection="1">
      <alignment horizontal="center" vertical="center"/>
      <protection hidden="1"/>
    </xf>
    <xf numFmtId="1" fontId="10" fillId="7" borderId="1" xfId="0" applyNumberFormat="1" applyFont="1" applyFill="1" applyBorder="1" applyAlignment="1" applyProtection="1">
      <alignment horizontal="center" vertical="center"/>
      <protection locked="0"/>
    </xf>
    <xf numFmtId="0" fontId="13" fillId="12" borderId="36" xfId="0" applyFont="1" applyFill="1" applyBorder="1" applyAlignment="1" applyProtection="1">
      <alignment vertical="center"/>
      <protection hidden="1"/>
    </xf>
    <xf numFmtId="0" fontId="13" fillId="12" borderId="37" xfId="0" applyFont="1" applyFill="1" applyBorder="1" applyAlignment="1" applyProtection="1">
      <alignment vertical="center"/>
      <protection hidden="1"/>
    </xf>
    <xf numFmtId="166" fontId="13" fillId="12" borderId="37" xfId="0" applyNumberFormat="1" applyFont="1" applyFill="1" applyBorder="1" applyAlignment="1" applyProtection="1">
      <alignment horizontal="center" vertical="center"/>
      <protection hidden="1"/>
    </xf>
    <xf numFmtId="0" fontId="13" fillId="12" borderId="38" xfId="0" applyFont="1" applyFill="1" applyBorder="1" applyAlignment="1" applyProtection="1">
      <alignment vertical="center"/>
      <protection hidden="1"/>
    </xf>
    <xf numFmtId="0" fontId="23" fillId="5" borderId="0" xfId="0" applyFont="1" applyFill="1" applyAlignment="1" applyProtection="1">
      <alignment horizontal="center"/>
      <protection hidden="1"/>
    </xf>
    <xf numFmtId="0" fontId="24" fillId="5" borderId="0" xfId="0" applyFont="1" applyFill="1" applyAlignment="1" applyProtection="1">
      <alignment vertical="top" wrapText="1"/>
      <protection hidden="1"/>
    </xf>
    <xf numFmtId="0" fontId="25" fillId="5" borderId="39" xfId="0" applyFont="1" applyFill="1" applyBorder="1" applyAlignment="1" applyProtection="1">
      <alignment horizontal="left"/>
      <protection hidden="1"/>
    </xf>
    <xf numFmtId="0" fontId="24" fillId="5" borderId="0" xfId="0" applyFont="1" applyFill="1" applyAlignment="1" applyProtection="1">
      <alignment horizontal="left" vertical="top" wrapText="1"/>
      <protection hidden="1"/>
    </xf>
    <xf numFmtId="0" fontId="25" fillId="5" borderId="0" xfId="0" applyFont="1" applyFill="1" applyAlignment="1" applyProtection="1">
      <alignment horizontal="left"/>
      <protection hidden="1"/>
    </xf>
    <xf numFmtId="0" fontId="26" fillId="5" borderId="0" xfId="0" applyFont="1" applyFill="1" applyAlignment="1" applyProtection="1">
      <alignment vertical="center"/>
      <protection hidden="1"/>
    </xf>
    <xf numFmtId="0" fontId="25" fillId="5" borderId="0" xfId="0" applyFont="1" applyFill="1" applyAlignment="1" applyProtection="1">
      <alignment vertical="center"/>
      <protection hidden="1"/>
    </xf>
    <xf numFmtId="0" fontId="25" fillId="5" borderId="0" xfId="0" applyFont="1" applyFill="1" applyAlignment="1" applyProtection="1">
      <alignment vertical="top"/>
      <protection hidden="1"/>
    </xf>
    <xf numFmtId="0" fontId="10" fillId="5" borderId="0" xfId="0" applyFont="1" applyFill="1" applyAlignment="1" applyProtection="1">
      <alignment vertical="top" wrapText="1"/>
      <protection hidden="1"/>
    </xf>
    <xf numFmtId="0" fontId="10" fillId="5" borderId="0" xfId="0" applyFont="1" applyFill="1" applyAlignment="1" applyProtection="1">
      <alignment vertical="center" wrapText="1"/>
      <protection hidden="1"/>
    </xf>
    <xf numFmtId="2" fontId="10" fillId="5" borderId="0" xfId="0" applyNumberFormat="1" applyFont="1" applyFill="1" applyProtection="1">
      <protection hidden="1"/>
    </xf>
    <xf numFmtId="1" fontId="10" fillId="5" borderId="0" xfId="0" applyNumberFormat="1" applyFont="1" applyFill="1" applyAlignment="1" applyProtection="1">
      <alignment horizontal="right"/>
      <protection hidden="1"/>
    </xf>
    <xf numFmtId="1" fontId="10" fillId="6" borderId="0" xfId="0" applyNumberFormat="1" applyFont="1" applyFill="1" applyProtection="1">
      <protection hidden="1"/>
    </xf>
    <xf numFmtId="0" fontId="0" fillId="6" borderId="0" xfId="0" applyFill="1" applyProtection="1">
      <protection hidden="1"/>
    </xf>
    <xf numFmtId="0" fontId="0" fillId="0" borderId="0" xfId="0" applyProtection="1">
      <protection hidden="1"/>
    </xf>
    <xf numFmtId="0" fontId="10" fillId="8" borderId="9" xfId="0" applyFont="1" applyFill="1" applyBorder="1" applyAlignment="1" applyProtection="1">
      <alignment vertical="center" wrapText="1"/>
      <protection hidden="1"/>
    </xf>
    <xf numFmtId="0" fontId="10" fillId="8" borderId="11" xfId="0" applyFont="1" applyFill="1" applyBorder="1" applyAlignment="1" applyProtection="1">
      <alignment vertical="center" wrapText="1"/>
      <protection hidden="1"/>
    </xf>
    <xf numFmtId="0" fontId="10" fillId="5" borderId="2" xfId="0" applyFont="1" applyFill="1" applyBorder="1" applyAlignment="1" applyProtection="1">
      <alignment vertical="center" wrapText="1"/>
      <protection hidden="1"/>
    </xf>
    <xf numFmtId="0" fontId="4" fillId="0" borderId="0" xfId="0" applyFont="1"/>
    <xf numFmtId="0" fontId="21" fillId="6" borderId="0" xfId="0" applyFont="1" applyFill="1" applyProtection="1">
      <protection hidden="1"/>
    </xf>
    <xf numFmtId="0" fontId="0" fillId="6" borderId="0" xfId="0" applyFill="1" applyAlignment="1" applyProtection="1">
      <alignment horizontal="center"/>
      <protection hidden="1"/>
    </xf>
    <xf numFmtId="0" fontId="30" fillId="5" borderId="46" xfId="0" applyFont="1" applyFill="1" applyBorder="1" applyProtection="1">
      <protection hidden="1"/>
    </xf>
    <xf numFmtId="0" fontId="10" fillId="0" borderId="0" xfId="0" applyFont="1" applyAlignment="1" applyProtection="1">
      <alignment horizontal="left" vertical="center" indent="1"/>
      <protection hidden="1"/>
    </xf>
    <xf numFmtId="0" fontId="32" fillId="5" borderId="0" xfId="0" applyFont="1" applyFill="1" applyAlignment="1" applyProtection="1">
      <alignment vertical="top" wrapText="1"/>
      <protection hidden="1"/>
    </xf>
    <xf numFmtId="0" fontId="33" fillId="5" borderId="35" xfId="0" applyFont="1" applyFill="1" applyBorder="1" applyAlignment="1" applyProtection="1">
      <alignment horizontal="left"/>
      <protection hidden="1"/>
    </xf>
    <xf numFmtId="166" fontId="26" fillId="6" borderId="0" xfId="0" applyNumberFormat="1" applyFont="1" applyFill="1" applyProtection="1">
      <protection hidden="1"/>
    </xf>
    <xf numFmtId="166" fontId="30" fillId="6" borderId="0" xfId="0" applyNumberFormat="1" applyFont="1" applyFill="1" applyProtection="1">
      <protection hidden="1"/>
    </xf>
    <xf numFmtId="166" fontId="13" fillId="17" borderId="0" xfId="0" applyNumberFormat="1" applyFont="1" applyFill="1" applyAlignment="1" applyProtection="1">
      <alignment horizontal="center"/>
      <protection locked="0" hidden="1"/>
    </xf>
    <xf numFmtId="166" fontId="34" fillId="6" borderId="0" xfId="0" applyNumberFormat="1" applyFont="1" applyFill="1" applyProtection="1">
      <protection hidden="1"/>
    </xf>
    <xf numFmtId="0" fontId="10" fillId="9" borderId="10" xfId="0" applyFont="1" applyFill="1" applyBorder="1" applyAlignment="1" applyProtection="1">
      <alignment horizontal="center" vertical="center" wrapText="1"/>
      <protection locked="0"/>
    </xf>
    <xf numFmtId="0" fontId="10" fillId="9" borderId="12" xfId="0" applyFont="1" applyFill="1" applyBorder="1" applyAlignment="1" applyProtection="1">
      <alignment horizontal="center" vertical="center" wrapText="1"/>
      <protection locked="0"/>
    </xf>
    <xf numFmtId="0" fontId="10" fillId="9" borderId="14" xfId="0" applyFont="1" applyFill="1" applyBorder="1" applyAlignment="1" applyProtection="1">
      <alignment horizontal="center" vertical="center" wrapText="1"/>
      <protection locked="0"/>
    </xf>
    <xf numFmtId="14" fontId="10" fillId="9" borderId="1" xfId="0" applyNumberFormat="1" applyFont="1" applyFill="1" applyBorder="1" applyAlignment="1" applyProtection="1">
      <alignment horizontal="center" vertical="center" wrapText="1"/>
      <protection locked="0"/>
    </xf>
    <xf numFmtId="0" fontId="10" fillId="9" borderId="1" xfId="0" applyFont="1" applyFill="1" applyBorder="1" applyAlignment="1" applyProtection="1">
      <alignment horizontal="center" vertical="center" wrapText="1"/>
      <protection locked="0"/>
    </xf>
    <xf numFmtId="0" fontId="32" fillId="5" borderId="0" xfId="0" applyFont="1" applyFill="1" applyAlignment="1" applyProtection="1">
      <alignment horizontal="left" vertical="top" wrapText="1"/>
      <protection hidden="1"/>
    </xf>
    <xf numFmtId="0" fontId="0" fillId="0" borderId="48" xfId="0" applyBorder="1"/>
    <xf numFmtId="0" fontId="0" fillId="0" borderId="8" xfId="0" applyBorder="1"/>
    <xf numFmtId="168" fontId="10" fillId="5" borderId="1" xfId="1" applyNumberFormat="1" applyFont="1" applyFill="1" applyBorder="1" applyAlignment="1" applyProtection="1">
      <alignment horizontal="center" vertical="center"/>
      <protection hidden="1"/>
    </xf>
    <xf numFmtId="0" fontId="35" fillId="5" borderId="39" xfId="0" applyFont="1" applyFill="1" applyBorder="1" applyAlignment="1" applyProtection="1">
      <alignment horizontal="left"/>
      <protection hidden="1"/>
    </xf>
    <xf numFmtId="0" fontId="36" fillId="5" borderId="0" xfId="0" applyFont="1" applyFill="1" applyProtection="1">
      <protection hidden="1"/>
    </xf>
    <xf numFmtId="168" fontId="10" fillId="12" borderId="1" xfId="1" applyNumberFormat="1" applyFont="1" applyFill="1" applyBorder="1" applyAlignment="1" applyProtection="1">
      <alignment horizontal="center" vertical="center"/>
      <protection hidden="1"/>
    </xf>
    <xf numFmtId="167" fontId="36" fillId="5" borderId="0" xfId="0" applyNumberFormat="1" applyFont="1" applyFill="1" applyProtection="1">
      <protection hidden="1"/>
    </xf>
    <xf numFmtId="0" fontId="10" fillId="8" borderId="49" xfId="0" applyFont="1" applyFill="1" applyBorder="1" applyAlignment="1" applyProtection="1">
      <alignment horizontal="left" vertical="center" indent="1"/>
      <protection hidden="1"/>
    </xf>
    <xf numFmtId="0" fontId="10" fillId="8" borderId="50" xfId="0" applyFont="1" applyFill="1" applyBorder="1" applyAlignment="1" applyProtection="1">
      <alignment horizontal="left" vertical="center" indent="1"/>
      <protection hidden="1"/>
    </xf>
    <xf numFmtId="3" fontId="10" fillId="6" borderId="50" xfId="0" applyNumberFormat="1" applyFont="1" applyFill="1" applyBorder="1" applyAlignment="1" applyProtection="1">
      <alignment horizontal="right" vertical="center" indent="1"/>
      <protection hidden="1"/>
    </xf>
    <xf numFmtId="166" fontId="29" fillId="8" borderId="50" xfId="0" applyNumberFormat="1" applyFont="1" applyFill="1" applyBorder="1" applyAlignment="1" applyProtection="1">
      <alignment horizontal="right" indent="1"/>
      <protection hidden="1"/>
    </xf>
    <xf numFmtId="166" fontId="10" fillId="8" borderId="50" xfId="0" applyNumberFormat="1" applyFont="1" applyFill="1" applyBorder="1" applyAlignment="1" applyProtection="1">
      <alignment horizontal="right" indent="1"/>
      <protection hidden="1"/>
    </xf>
    <xf numFmtId="166" fontId="10" fillId="8" borderId="51" xfId="0" applyNumberFormat="1" applyFont="1" applyFill="1" applyBorder="1" applyAlignment="1" applyProtection="1">
      <alignment horizontal="right" indent="1"/>
      <protection hidden="1"/>
    </xf>
    <xf numFmtId="166" fontId="10" fillId="8" borderId="52" xfId="0" applyNumberFormat="1" applyFont="1" applyFill="1" applyBorder="1" applyAlignment="1" applyProtection="1">
      <alignment horizontal="right" indent="1"/>
      <protection hidden="1"/>
    </xf>
    <xf numFmtId="0" fontId="24" fillId="0" borderId="0" xfId="0" applyFont="1" applyAlignment="1">
      <alignment horizontal="left"/>
    </xf>
    <xf numFmtId="0" fontId="38" fillId="0" borderId="0" xfId="0" applyFont="1" applyAlignment="1" applyProtection="1">
      <alignment horizontal="left" vertical="top"/>
      <protection hidden="1"/>
    </xf>
    <xf numFmtId="1" fontId="10" fillId="6" borderId="0" xfId="0" applyNumberFormat="1" applyFont="1" applyFill="1" applyAlignment="1" applyProtection="1">
      <alignment horizontal="left" vertical="center" indent="1"/>
      <protection hidden="1"/>
    </xf>
    <xf numFmtId="1" fontId="10" fillId="6" borderId="0" xfId="0" applyNumberFormat="1" applyFont="1" applyFill="1" applyAlignment="1" applyProtection="1">
      <alignment horizontal="right" vertical="center" indent="1"/>
      <protection hidden="1"/>
    </xf>
    <xf numFmtId="166" fontId="29" fillId="8" borderId="0" xfId="0" applyNumberFormat="1" applyFont="1" applyFill="1" applyAlignment="1" applyProtection="1">
      <alignment horizontal="right" indent="1"/>
      <protection hidden="1"/>
    </xf>
    <xf numFmtId="166" fontId="10" fillId="8" borderId="0" xfId="0" applyNumberFormat="1" applyFont="1" applyFill="1" applyAlignment="1" applyProtection="1">
      <alignment horizontal="right" indent="1"/>
      <protection hidden="1"/>
    </xf>
    <xf numFmtId="0" fontId="23" fillId="5" borderId="46" xfId="0" applyFont="1" applyFill="1" applyBorder="1" applyProtection="1">
      <protection hidden="1"/>
    </xf>
    <xf numFmtId="1" fontId="20" fillId="11" borderId="56" xfId="0" applyNumberFormat="1" applyFont="1" applyFill="1" applyBorder="1" applyAlignment="1" applyProtection="1">
      <alignment horizontal="center" vertical="center"/>
      <protection hidden="1"/>
    </xf>
    <xf numFmtId="166" fontId="20" fillId="11" borderId="56" xfId="0" applyNumberFormat="1" applyFont="1" applyFill="1" applyBorder="1" applyAlignment="1" applyProtection="1">
      <alignment horizontal="center" vertical="center" wrapText="1"/>
      <protection hidden="1"/>
    </xf>
    <xf numFmtId="0" fontId="10" fillId="7" borderId="4" xfId="0" applyFont="1" applyFill="1" applyBorder="1" applyAlignment="1" applyProtection="1">
      <alignment horizontal="center" vertical="center"/>
      <protection locked="0"/>
    </xf>
    <xf numFmtId="166" fontId="10" fillId="7" borderId="4" xfId="0" applyNumberFormat="1" applyFont="1" applyFill="1" applyBorder="1" applyAlignment="1" applyProtection="1">
      <alignment horizontal="center" vertical="center"/>
      <protection locked="0"/>
    </xf>
    <xf numFmtId="0" fontId="10" fillId="5" borderId="0" xfId="0" applyFont="1" applyFill="1" applyAlignment="1" applyProtection="1">
      <alignment vertical="center"/>
      <protection hidden="1"/>
    </xf>
    <xf numFmtId="0" fontId="39" fillId="0" borderId="0" xfId="0" applyFont="1" applyAlignment="1" applyProtection="1">
      <alignment horizontal="left" vertical="top"/>
      <protection hidden="1"/>
    </xf>
    <xf numFmtId="0" fontId="20" fillId="11" borderId="58" xfId="0" applyFont="1" applyFill="1" applyBorder="1" applyAlignment="1" applyProtection="1">
      <alignment horizontal="center" vertical="center"/>
      <protection hidden="1"/>
    </xf>
    <xf numFmtId="0" fontId="20" fillId="11" borderId="56" xfId="0" applyFont="1" applyFill="1" applyBorder="1" applyAlignment="1" applyProtection="1">
      <alignment horizontal="center" vertical="center"/>
      <protection hidden="1"/>
    </xf>
    <xf numFmtId="166" fontId="20" fillId="11" borderId="59" xfId="0" applyNumberFormat="1" applyFont="1" applyFill="1" applyBorder="1" applyAlignment="1" applyProtection="1">
      <alignment horizontal="center" vertical="center" wrapText="1"/>
      <protection hidden="1"/>
    </xf>
    <xf numFmtId="166" fontId="20" fillId="11" borderId="60" xfId="0" applyNumberFormat="1" applyFont="1" applyFill="1" applyBorder="1" applyAlignment="1" applyProtection="1">
      <alignment horizontal="center" vertical="center" wrapText="1"/>
      <protection hidden="1"/>
    </xf>
    <xf numFmtId="0" fontId="24" fillId="12" borderId="42" xfId="0" applyFont="1" applyFill="1" applyBorder="1" applyAlignment="1" applyProtection="1">
      <alignment vertical="top" wrapText="1"/>
      <protection hidden="1"/>
    </xf>
    <xf numFmtId="0" fontId="24" fillId="12" borderId="44" xfId="0" applyFont="1" applyFill="1" applyBorder="1" applyAlignment="1" applyProtection="1">
      <alignment vertical="top" wrapText="1"/>
      <protection hidden="1"/>
    </xf>
    <xf numFmtId="167" fontId="20" fillId="3" borderId="58" xfId="0" applyNumberFormat="1" applyFont="1" applyFill="1" applyBorder="1" applyAlignment="1" applyProtection="1">
      <alignment horizontal="center" vertical="center" wrapText="1"/>
      <protection hidden="1"/>
    </xf>
    <xf numFmtId="2" fontId="20" fillId="3" borderId="56" xfId="0" applyNumberFormat="1" applyFont="1" applyFill="1" applyBorder="1" applyAlignment="1" applyProtection="1">
      <alignment horizontal="center" vertical="center" wrapText="1"/>
      <protection hidden="1"/>
    </xf>
    <xf numFmtId="2" fontId="20" fillId="3" borderId="59" xfId="0" applyNumberFormat="1" applyFont="1" applyFill="1" applyBorder="1" applyAlignment="1" applyProtection="1">
      <alignment horizontal="center" vertical="center" wrapText="1"/>
      <protection hidden="1"/>
    </xf>
    <xf numFmtId="0" fontId="10" fillId="8" borderId="5" xfId="0" applyFont="1" applyFill="1" applyBorder="1" applyAlignment="1" applyProtection="1">
      <alignment horizontal="left" vertical="center" indent="2"/>
      <protection hidden="1"/>
    </xf>
    <xf numFmtId="0" fontId="10" fillId="5" borderId="4" xfId="0" applyFont="1" applyFill="1" applyBorder="1" applyAlignment="1" applyProtection="1">
      <alignment horizontal="center" vertical="center"/>
      <protection hidden="1"/>
    </xf>
    <xf numFmtId="166" fontId="10" fillId="12" borderId="4" xfId="0" applyNumberFormat="1" applyFont="1" applyFill="1" applyBorder="1" applyAlignment="1" applyProtection="1">
      <alignment horizontal="center" vertical="center"/>
      <protection hidden="1"/>
    </xf>
    <xf numFmtId="166" fontId="10" fillId="12" borderId="61" xfId="0" applyNumberFormat="1" applyFont="1" applyFill="1" applyBorder="1" applyAlignment="1" applyProtection="1">
      <alignment horizontal="center" vertical="center"/>
      <protection hidden="1"/>
    </xf>
    <xf numFmtId="166" fontId="10" fillId="5" borderId="6" xfId="0" applyNumberFormat="1" applyFont="1" applyFill="1" applyBorder="1" applyAlignment="1" applyProtection="1">
      <alignment horizontal="center" vertical="center"/>
      <protection hidden="1"/>
    </xf>
    <xf numFmtId="0" fontId="24" fillId="12" borderId="53" xfId="0" applyFont="1" applyFill="1" applyBorder="1" applyAlignment="1" applyProtection="1">
      <alignment vertical="top" wrapText="1"/>
      <protection hidden="1"/>
    </xf>
    <xf numFmtId="0" fontId="24" fillId="12" borderId="55" xfId="0" applyFont="1" applyFill="1" applyBorder="1" applyAlignment="1" applyProtection="1">
      <alignment vertical="top" wrapText="1"/>
      <protection hidden="1"/>
    </xf>
    <xf numFmtId="2" fontId="10" fillId="3" borderId="4" xfId="0" applyNumberFormat="1" applyFont="1" applyFill="1" applyBorder="1" applyAlignment="1" applyProtection="1">
      <alignment horizontal="center" vertical="center"/>
      <protection hidden="1"/>
    </xf>
    <xf numFmtId="166" fontId="10" fillId="5" borderId="1" xfId="0" applyNumberFormat="1" applyFont="1" applyFill="1" applyBorder="1" applyAlignment="1" applyProtection="1">
      <alignment horizontal="center" vertical="center"/>
      <protection hidden="1"/>
    </xf>
    <xf numFmtId="166" fontId="10" fillId="12" borderId="1" xfId="0" applyNumberFormat="1" applyFont="1" applyFill="1" applyBorder="1" applyAlignment="1" applyProtection="1">
      <alignment horizontal="center" vertical="center"/>
      <protection hidden="1"/>
    </xf>
    <xf numFmtId="0" fontId="13" fillId="12" borderId="43" xfId="0" applyFont="1" applyFill="1" applyBorder="1" applyAlignment="1" applyProtection="1">
      <alignment vertical="center"/>
      <protection hidden="1"/>
    </xf>
    <xf numFmtId="166" fontId="13" fillId="12" borderId="43" xfId="0" applyNumberFormat="1" applyFont="1" applyFill="1" applyBorder="1" applyAlignment="1" applyProtection="1">
      <alignment horizontal="center" vertical="center"/>
      <protection hidden="1"/>
    </xf>
    <xf numFmtId="0" fontId="13" fillId="12" borderId="44" xfId="0" applyFont="1" applyFill="1" applyBorder="1" applyAlignment="1" applyProtection="1">
      <alignment vertical="center"/>
      <protection hidden="1"/>
    </xf>
    <xf numFmtId="0" fontId="42" fillId="5" borderId="0" xfId="0" applyFont="1" applyFill="1" applyAlignment="1" applyProtection="1">
      <alignment horizontal="left" vertical="center"/>
      <protection hidden="1"/>
    </xf>
    <xf numFmtId="166" fontId="13" fillId="12" borderId="44" xfId="0" applyNumberFormat="1" applyFont="1" applyFill="1" applyBorder="1" applyAlignment="1" applyProtection="1">
      <alignment horizontal="center" vertical="center"/>
      <protection hidden="1"/>
    </xf>
    <xf numFmtId="0" fontId="13" fillId="12" borderId="54" xfId="0" applyFont="1" applyFill="1" applyBorder="1" applyAlignment="1" applyProtection="1">
      <alignment vertical="center"/>
      <protection hidden="1"/>
    </xf>
    <xf numFmtId="168" fontId="19" fillId="13" borderId="1" xfId="1" applyNumberFormat="1" applyFont="1" applyFill="1" applyBorder="1" applyAlignment="1" applyProtection="1">
      <alignment horizontal="center" vertical="center"/>
      <protection hidden="1"/>
    </xf>
    <xf numFmtId="166" fontId="19" fillId="13" borderId="1" xfId="0" applyNumberFormat="1" applyFont="1" applyFill="1" applyBorder="1" applyAlignment="1" applyProtection="1">
      <alignment horizontal="center" vertical="center"/>
      <protection hidden="1"/>
    </xf>
    <xf numFmtId="0" fontId="21" fillId="5" borderId="0" xfId="0" applyFont="1" applyFill="1" applyAlignment="1" applyProtection="1">
      <alignment horizontal="left" vertical="top" wrapText="1"/>
      <protection hidden="1"/>
    </xf>
    <xf numFmtId="169" fontId="0" fillId="0" borderId="0" xfId="0" applyNumberFormat="1"/>
    <xf numFmtId="0" fontId="8" fillId="19" borderId="1" xfId="2" applyFont="1" applyFill="1" applyBorder="1"/>
    <xf numFmtId="0" fontId="5" fillId="0" borderId="0" xfId="0" applyFont="1"/>
    <xf numFmtId="169" fontId="5" fillId="0" borderId="0" xfId="0" applyNumberFormat="1" applyFont="1"/>
    <xf numFmtId="169" fontId="8" fillId="19" borderId="1" xfId="2" applyNumberFormat="1" applyFont="1" applyFill="1" applyBorder="1"/>
    <xf numFmtId="2" fontId="8" fillId="19" borderId="1" xfId="2" applyNumberFormat="1" applyFont="1" applyFill="1" applyBorder="1"/>
    <xf numFmtId="2" fontId="0" fillId="0" borderId="0" xfId="0" applyNumberFormat="1"/>
    <xf numFmtId="0" fontId="10" fillId="10" borderId="70" xfId="0" applyFont="1" applyFill="1" applyBorder="1" applyAlignment="1" applyProtection="1">
      <alignment horizontal="center" vertical="center"/>
      <protection hidden="1"/>
    </xf>
    <xf numFmtId="0" fontId="10" fillId="10" borderId="48" xfId="0" applyFont="1" applyFill="1" applyBorder="1" applyAlignment="1" applyProtection="1">
      <alignment horizontal="center" vertical="center"/>
      <protection hidden="1"/>
    </xf>
    <xf numFmtId="0" fontId="16" fillId="5" borderId="47" xfId="0" applyFont="1" applyFill="1" applyBorder="1" applyAlignment="1" applyProtection="1">
      <alignment horizontal="left" vertical="center"/>
      <protection hidden="1"/>
    </xf>
    <xf numFmtId="0" fontId="16" fillId="5" borderId="0" xfId="0" applyFont="1" applyFill="1" applyAlignment="1" applyProtection="1">
      <alignment horizontal="left" vertical="center"/>
      <protection hidden="1"/>
    </xf>
    <xf numFmtId="0" fontId="0" fillId="0" borderId="67" xfId="0" applyBorder="1"/>
    <xf numFmtId="0" fontId="0" fillId="0" borderId="69" xfId="0" applyBorder="1"/>
    <xf numFmtId="0" fontId="8" fillId="19" borderId="1" xfId="2" applyFont="1" applyFill="1" applyBorder="1" applyAlignment="1">
      <alignment horizontal="left" vertical="center"/>
    </xf>
    <xf numFmtId="0" fontId="0" fillId="0" borderId="0" xfId="0" applyAlignment="1">
      <alignment horizontal="left" vertical="center"/>
    </xf>
    <xf numFmtId="10" fontId="8" fillId="19" borderId="1" xfId="2" applyNumberFormat="1" applyFont="1" applyFill="1" applyBorder="1"/>
    <xf numFmtId="10" fontId="0" fillId="0" borderId="0" xfId="0" applyNumberFormat="1"/>
    <xf numFmtId="0" fontId="8" fillId="19" borderId="1" xfId="2" applyFont="1" applyFill="1" applyBorder="1" applyAlignment="1">
      <alignment horizontal="center" vertical="center"/>
    </xf>
    <xf numFmtId="0" fontId="0" fillId="0" borderId="0" xfId="0" applyAlignment="1">
      <alignment horizontal="center" vertical="center"/>
    </xf>
    <xf numFmtId="1" fontId="10" fillId="6" borderId="0" xfId="0" applyNumberFormat="1" applyFont="1" applyFill="1" applyAlignment="1" applyProtection="1">
      <alignment horizontal="center" vertical="center"/>
      <protection hidden="1"/>
    </xf>
    <xf numFmtId="0" fontId="10" fillId="8" borderId="71" xfId="0" applyFont="1" applyFill="1" applyBorder="1" applyAlignment="1" applyProtection="1">
      <alignment horizontal="left" vertical="center" indent="1"/>
      <protection hidden="1"/>
    </xf>
    <xf numFmtId="0" fontId="10" fillId="8" borderId="73" xfId="0" applyFont="1" applyFill="1" applyBorder="1" applyAlignment="1" applyProtection="1">
      <alignment horizontal="left" vertical="center" indent="1"/>
      <protection hidden="1"/>
    </xf>
    <xf numFmtId="166" fontId="10" fillId="8" borderId="73" xfId="0" applyNumberFormat="1" applyFont="1" applyFill="1" applyBorder="1" applyAlignment="1" applyProtection="1">
      <alignment horizontal="right" indent="1"/>
      <protection hidden="1"/>
    </xf>
    <xf numFmtId="166" fontId="10" fillId="8" borderId="72" xfId="0" applyNumberFormat="1" applyFont="1" applyFill="1" applyBorder="1" applyAlignment="1" applyProtection="1">
      <alignment horizontal="right" indent="1"/>
      <protection hidden="1"/>
    </xf>
    <xf numFmtId="0" fontId="6" fillId="0" borderId="0" xfId="0" applyFont="1"/>
    <xf numFmtId="0" fontId="6" fillId="0" borderId="0" xfId="0" applyFont="1" applyAlignment="1">
      <alignment horizontal="center"/>
    </xf>
    <xf numFmtId="0" fontId="7" fillId="0" borderId="0" xfId="0" applyFont="1" applyAlignment="1">
      <alignment horizontal="left"/>
    </xf>
    <xf numFmtId="49" fontId="5" fillId="0" borderId="0" xfId="0" quotePrefix="1" applyNumberFormat="1" applyFont="1" applyAlignment="1">
      <alignment horizontal="center"/>
    </xf>
    <xf numFmtId="0" fontId="5" fillId="0" borderId="0" xfId="0" applyFont="1" applyAlignment="1">
      <alignment horizontal="center" vertical="top"/>
    </xf>
    <xf numFmtId="0" fontId="5" fillId="0" borderId="0" xfId="0" applyFont="1" applyAlignment="1">
      <alignment horizontal="center"/>
    </xf>
    <xf numFmtId="0" fontId="1" fillId="0" borderId="0" xfId="6" applyFont="1" applyFill="1" applyBorder="1"/>
    <xf numFmtId="0" fontId="5" fillId="22" borderId="0" xfId="0" applyFont="1" applyFill="1"/>
    <xf numFmtId="0" fontId="6" fillId="22" borderId="0" xfId="0" applyFont="1" applyFill="1" applyAlignment="1">
      <alignment horizontal="center"/>
    </xf>
    <xf numFmtId="0" fontId="6" fillId="22" borderId="0" xfId="0" applyFont="1" applyFill="1"/>
    <xf numFmtId="0" fontId="2" fillId="22" borderId="0" xfId="5" applyFill="1"/>
    <xf numFmtId="0" fontId="0" fillId="22" borderId="0" xfId="0" applyFill="1"/>
    <xf numFmtId="0" fontId="7" fillId="22" borderId="0" xfId="0" applyFont="1" applyFill="1" applyAlignment="1">
      <alignment horizontal="left"/>
    </xf>
    <xf numFmtId="0" fontId="7" fillId="0" borderId="0" xfId="0" applyFont="1" applyAlignment="1">
      <alignment horizontal="center" vertical="top"/>
    </xf>
    <xf numFmtId="0" fontId="0" fillId="0" borderId="0" xfId="6" applyFont="1" applyFill="1" applyBorder="1" applyAlignment="1">
      <alignment horizontal="left"/>
    </xf>
    <xf numFmtId="0" fontId="0" fillId="0" borderId="0" xfId="6" applyFont="1" applyFill="1" applyBorder="1"/>
    <xf numFmtId="0" fontId="1" fillId="0" borderId="0" xfId="6" applyFont="1" applyFill="1" applyBorder="1" applyAlignment="1">
      <alignment horizontal="left"/>
    </xf>
    <xf numFmtId="0" fontId="7" fillId="0" borderId="0" xfId="0" applyFont="1" applyAlignment="1">
      <alignment horizontal="left" vertical="center"/>
    </xf>
    <xf numFmtId="44" fontId="0" fillId="0" borderId="0" xfId="0" applyNumberFormat="1"/>
    <xf numFmtId="165" fontId="0" fillId="0" borderId="0" xfId="0" applyNumberFormat="1"/>
    <xf numFmtId="170" fontId="0" fillId="0" borderId="0" xfId="0" applyNumberFormat="1"/>
    <xf numFmtId="0" fontId="7" fillId="0" borderId="68" xfId="0" applyFont="1" applyBorder="1" applyAlignment="1">
      <alignment horizontal="left"/>
    </xf>
    <xf numFmtId="0" fontId="7" fillId="22" borderId="68" xfId="0" applyFont="1" applyFill="1" applyBorder="1" applyAlignment="1">
      <alignment horizontal="left"/>
    </xf>
    <xf numFmtId="0" fontId="0" fillId="0" borderId="68" xfId="6" applyFont="1" applyFill="1" applyBorder="1" applyAlignment="1">
      <alignment horizontal="left"/>
    </xf>
    <xf numFmtId="0" fontId="7" fillId="0" borderId="68" xfId="0" applyFont="1" applyBorder="1" applyAlignment="1">
      <alignment horizontal="left" vertical="center"/>
    </xf>
    <xf numFmtId="44" fontId="0" fillId="25" borderId="0" xfId="0" applyNumberFormat="1" applyFill="1"/>
    <xf numFmtId="169" fontId="5" fillId="0" borderId="77" xfId="0" applyNumberFormat="1" applyFont="1" applyBorder="1"/>
    <xf numFmtId="0" fontId="5" fillId="0" borderId="77" xfId="0" applyFont="1" applyBorder="1"/>
    <xf numFmtId="165" fontId="7" fillId="0" borderId="0" xfId="7" applyNumberFormat="1" applyFont="1" applyFill="1" applyBorder="1"/>
    <xf numFmtId="16" fontId="5" fillId="0" borderId="0" xfId="0" quotePrefix="1" applyNumberFormat="1" applyFont="1" applyAlignment="1">
      <alignment horizontal="center"/>
    </xf>
    <xf numFmtId="165" fontId="7" fillId="0" borderId="0" xfId="0" applyNumberFormat="1" applyFont="1"/>
    <xf numFmtId="0" fontId="5" fillId="0" borderId="0" xfId="0" quotePrefix="1" applyFont="1" applyAlignment="1">
      <alignment horizontal="center"/>
    </xf>
    <xf numFmtId="165" fontId="7" fillId="0" borderId="0" xfId="9" applyNumberFormat="1" applyFont="1" applyFill="1" applyBorder="1"/>
    <xf numFmtId="16" fontId="7" fillId="0" borderId="0" xfId="0" quotePrefix="1" applyNumberFormat="1" applyFont="1" applyAlignment="1">
      <alignment horizontal="center"/>
    </xf>
    <xf numFmtId="0" fontId="7" fillId="0" borderId="0" xfId="0" quotePrefix="1" applyFont="1" applyAlignment="1">
      <alignment horizontal="center"/>
    </xf>
    <xf numFmtId="165" fontId="46" fillId="23" borderId="0" xfId="8" applyNumberFormat="1" applyBorder="1"/>
    <xf numFmtId="0" fontId="7" fillId="0" borderId="0" xfId="0" applyFont="1" applyAlignment="1">
      <alignment horizontal="center"/>
    </xf>
    <xf numFmtId="0" fontId="7" fillId="0" borderId="0" xfId="6" quotePrefix="1" applyFont="1" applyFill="1" applyBorder="1" applyAlignment="1">
      <alignment horizontal="center"/>
    </xf>
    <xf numFmtId="165" fontId="7" fillId="22" borderId="0" xfId="9" applyNumberFormat="1" applyFont="1" applyFill="1" applyBorder="1"/>
    <xf numFmtId="165" fontId="48" fillId="23" borderId="0" xfId="8" applyNumberFormat="1" applyFont="1" applyBorder="1"/>
    <xf numFmtId="0" fontId="5" fillId="22" borderId="0" xfId="0" applyFont="1" applyFill="1" applyAlignment="1">
      <alignment horizontal="center"/>
    </xf>
    <xf numFmtId="165" fontId="5" fillId="22" borderId="0" xfId="0" applyNumberFormat="1" applyFont="1" applyFill="1" applyAlignment="1">
      <alignment horizontal="right"/>
    </xf>
    <xf numFmtId="17" fontId="5" fillId="0" borderId="0" xfId="0" quotePrefix="1" applyNumberFormat="1" applyFont="1" applyAlignment="1">
      <alignment horizontal="center"/>
    </xf>
    <xf numFmtId="165" fontId="7" fillId="0" borderId="0" xfId="0" quotePrefix="1" applyNumberFormat="1" applyFont="1"/>
    <xf numFmtId="165" fontId="7" fillId="0" borderId="0" xfId="8" applyNumberFormat="1" applyFont="1" applyFill="1" applyBorder="1"/>
    <xf numFmtId="165" fontId="46" fillId="23" borderId="0" xfId="8" applyNumberFormat="1"/>
    <xf numFmtId="0" fontId="5" fillId="22" borderId="0" xfId="0" quotePrefix="1" applyFont="1" applyFill="1" applyAlignment="1">
      <alignment horizontal="center"/>
    </xf>
    <xf numFmtId="165" fontId="7" fillId="22" borderId="0" xfId="0" applyNumberFormat="1" applyFont="1" applyFill="1"/>
    <xf numFmtId="165" fontId="5" fillId="0" borderId="0" xfId="0" applyNumberFormat="1" applyFont="1"/>
    <xf numFmtId="16" fontId="7" fillId="0" borderId="0" xfId="8" quotePrefix="1" applyNumberFormat="1" applyFont="1" applyFill="1" applyBorder="1" applyAlignment="1">
      <alignment horizontal="center"/>
    </xf>
    <xf numFmtId="0" fontId="7" fillId="0" borderId="0" xfId="8" applyFont="1" applyFill="1" applyBorder="1" applyAlignment="1">
      <alignment horizontal="center"/>
    </xf>
    <xf numFmtId="0" fontId="7" fillId="16" borderId="75" xfId="0" applyFont="1" applyFill="1" applyBorder="1" applyAlignment="1">
      <alignment horizontal="left"/>
    </xf>
    <xf numFmtId="0" fontId="7" fillId="6" borderId="75" xfId="0" applyFont="1" applyFill="1" applyBorder="1" applyAlignment="1">
      <alignment horizontal="left"/>
    </xf>
    <xf numFmtId="0" fontId="0" fillId="16" borderId="75" xfId="6" applyFont="1" applyFill="1" applyBorder="1" applyAlignment="1">
      <alignment horizontal="left"/>
    </xf>
    <xf numFmtId="0" fontId="7" fillId="6" borderId="76" xfId="0" applyFont="1" applyFill="1" applyBorder="1" applyAlignment="1">
      <alignment horizontal="left"/>
    </xf>
    <xf numFmtId="0" fontId="13" fillId="8" borderId="13" xfId="0" applyFont="1" applyFill="1" applyBorder="1" applyAlignment="1" applyProtection="1">
      <alignment horizontal="center" vertical="center" wrapText="1"/>
      <protection hidden="1"/>
    </xf>
    <xf numFmtId="0" fontId="7" fillId="6" borderId="76" xfId="0" applyFont="1" applyFill="1" applyBorder="1" applyAlignment="1">
      <alignment horizontal="left" vertical="center"/>
    </xf>
    <xf numFmtId="0" fontId="13" fillId="8" borderId="13" xfId="0" applyFont="1" applyFill="1" applyBorder="1" applyAlignment="1" applyProtection="1">
      <alignment vertical="center" wrapText="1"/>
      <protection hidden="1"/>
    </xf>
    <xf numFmtId="0" fontId="10" fillId="8" borderId="82" xfId="0" applyFont="1" applyFill="1" applyBorder="1" applyAlignment="1" applyProtection="1">
      <alignment horizontal="left" vertical="center" indent="1"/>
      <protection hidden="1"/>
    </xf>
    <xf numFmtId="0" fontId="10" fillId="8" borderId="83" xfId="0" applyFont="1" applyFill="1" applyBorder="1" applyAlignment="1" applyProtection="1">
      <alignment horizontal="left" vertical="center" indent="1"/>
      <protection hidden="1"/>
    </xf>
    <xf numFmtId="3" fontId="10" fillId="6" borderId="83" xfId="0" applyNumberFormat="1" applyFont="1" applyFill="1" applyBorder="1" applyAlignment="1" applyProtection="1">
      <alignment horizontal="right" vertical="center" indent="1"/>
      <protection hidden="1"/>
    </xf>
    <xf numFmtId="166" fontId="29" fillId="8" borderId="83" xfId="0" applyNumberFormat="1" applyFont="1" applyFill="1" applyBorder="1" applyAlignment="1" applyProtection="1">
      <alignment horizontal="right" indent="1"/>
      <protection hidden="1"/>
    </xf>
    <xf numFmtId="166" fontId="10" fillId="8" borderId="83" xfId="0" applyNumberFormat="1" applyFont="1" applyFill="1" applyBorder="1" applyAlignment="1" applyProtection="1">
      <alignment horizontal="right" indent="1"/>
      <protection hidden="1"/>
    </xf>
    <xf numFmtId="166" fontId="10" fillId="8" borderId="84" xfId="0" applyNumberFormat="1" applyFont="1" applyFill="1" applyBorder="1" applyAlignment="1" applyProtection="1">
      <alignment horizontal="right" indent="1"/>
      <protection hidden="1"/>
    </xf>
    <xf numFmtId="166" fontId="10" fillId="8" borderId="85" xfId="0" applyNumberFormat="1" applyFont="1" applyFill="1" applyBorder="1" applyAlignment="1" applyProtection="1">
      <alignment horizontal="right" indent="1"/>
      <protection hidden="1"/>
    </xf>
    <xf numFmtId="0" fontId="10" fillId="8" borderId="1" xfId="0" applyFont="1" applyFill="1" applyBorder="1" applyAlignment="1" applyProtection="1">
      <alignment horizontal="left" vertical="center" indent="1"/>
      <protection hidden="1"/>
    </xf>
    <xf numFmtId="3" fontId="10" fillId="6" borderId="1" xfId="0" applyNumberFormat="1" applyFont="1" applyFill="1" applyBorder="1" applyAlignment="1" applyProtection="1">
      <alignment horizontal="right" vertical="center" indent="1"/>
      <protection hidden="1"/>
    </xf>
    <xf numFmtId="166" fontId="29" fillId="18" borderId="1" xfId="0" applyNumberFormat="1" applyFont="1" applyFill="1" applyBorder="1" applyAlignment="1" applyProtection="1">
      <alignment horizontal="right" indent="1"/>
      <protection hidden="1"/>
    </xf>
    <xf numFmtId="166" fontId="29" fillId="8" borderId="1" xfId="0" applyNumberFormat="1" applyFont="1" applyFill="1" applyBorder="1" applyAlignment="1" applyProtection="1">
      <alignment horizontal="right" indent="1"/>
      <protection hidden="1"/>
    </xf>
    <xf numFmtId="166" fontId="10" fillId="8" borderId="1" xfId="0" applyNumberFormat="1" applyFont="1" applyFill="1" applyBorder="1" applyAlignment="1" applyProtection="1">
      <alignment horizontal="right" indent="1"/>
      <protection hidden="1"/>
    </xf>
    <xf numFmtId="3" fontId="10" fillId="6" borderId="73" xfId="0" applyNumberFormat="1" applyFont="1" applyFill="1" applyBorder="1" applyAlignment="1" applyProtection="1">
      <alignment horizontal="right" vertical="center" indent="1"/>
      <protection hidden="1"/>
    </xf>
    <xf numFmtId="166" fontId="29" fillId="18" borderId="73" xfId="0" applyNumberFormat="1" applyFont="1" applyFill="1" applyBorder="1" applyAlignment="1" applyProtection="1">
      <alignment horizontal="right" indent="1"/>
      <protection hidden="1"/>
    </xf>
    <xf numFmtId="166" fontId="29" fillId="8" borderId="73" xfId="0" applyNumberFormat="1" applyFont="1" applyFill="1" applyBorder="1" applyAlignment="1" applyProtection="1">
      <alignment horizontal="right" indent="1"/>
      <protection hidden="1"/>
    </xf>
    <xf numFmtId="0" fontId="10" fillId="8" borderId="57" xfId="0" applyFont="1" applyFill="1" applyBorder="1" applyAlignment="1" applyProtection="1">
      <alignment horizontal="left" vertical="center" indent="1"/>
      <protection hidden="1"/>
    </xf>
    <xf numFmtId="166" fontId="10" fillId="8" borderId="69" xfId="0" applyNumberFormat="1" applyFont="1" applyFill="1" applyBorder="1" applyAlignment="1" applyProtection="1">
      <alignment horizontal="right" indent="1"/>
      <protection hidden="1"/>
    </xf>
    <xf numFmtId="0" fontId="10" fillId="8" borderId="86" xfId="0" applyFont="1" applyFill="1" applyBorder="1" applyAlignment="1" applyProtection="1">
      <alignment horizontal="left" vertical="center" indent="1"/>
      <protection hidden="1"/>
    </xf>
    <xf numFmtId="0" fontId="10" fillId="8" borderId="87" xfId="0" applyFont="1" applyFill="1" applyBorder="1" applyAlignment="1" applyProtection="1">
      <alignment horizontal="left" vertical="center" indent="1"/>
      <protection hidden="1"/>
    </xf>
    <xf numFmtId="3" fontId="10" fillId="6" borderId="87" xfId="0" applyNumberFormat="1" applyFont="1" applyFill="1" applyBorder="1" applyAlignment="1" applyProtection="1">
      <alignment horizontal="right" vertical="center" indent="1"/>
      <protection hidden="1"/>
    </xf>
    <xf numFmtId="166" fontId="29" fillId="18" borderId="87" xfId="0" applyNumberFormat="1" applyFont="1" applyFill="1" applyBorder="1" applyAlignment="1" applyProtection="1">
      <alignment horizontal="right" indent="1"/>
      <protection hidden="1"/>
    </xf>
    <xf numFmtId="166" fontId="29" fillId="8" borderId="87" xfId="0" applyNumberFormat="1" applyFont="1" applyFill="1" applyBorder="1" applyAlignment="1" applyProtection="1">
      <alignment horizontal="right" indent="1"/>
      <protection hidden="1"/>
    </xf>
    <xf numFmtId="166" fontId="10" fillId="8" borderId="87" xfId="0" applyNumberFormat="1" applyFont="1" applyFill="1" applyBorder="1" applyAlignment="1" applyProtection="1">
      <alignment horizontal="right" indent="1"/>
      <protection hidden="1"/>
    </xf>
    <xf numFmtId="166" fontId="10" fillId="8" borderId="88" xfId="0" applyNumberFormat="1" applyFont="1" applyFill="1" applyBorder="1" applyAlignment="1" applyProtection="1">
      <alignment horizontal="right" indent="1"/>
      <protection hidden="1"/>
    </xf>
    <xf numFmtId="169" fontId="10" fillId="3" borderId="4" xfId="0" applyNumberFormat="1" applyFont="1" applyFill="1" applyBorder="1" applyAlignment="1" applyProtection="1">
      <alignment horizontal="center" vertical="center"/>
      <protection hidden="1"/>
    </xf>
    <xf numFmtId="169" fontId="10" fillId="3" borderId="61" xfId="0" applyNumberFormat="1" applyFont="1" applyFill="1" applyBorder="1" applyAlignment="1" applyProtection="1">
      <alignment horizontal="center" vertical="center"/>
      <protection hidden="1"/>
    </xf>
    <xf numFmtId="169" fontId="10" fillId="3" borderId="1" xfId="0" applyNumberFormat="1" applyFont="1" applyFill="1" applyBorder="1" applyAlignment="1" applyProtection="1">
      <alignment horizontal="center" vertical="center"/>
      <protection hidden="1"/>
    </xf>
    <xf numFmtId="169" fontId="10" fillId="3" borderId="26" xfId="0" applyNumberFormat="1" applyFont="1" applyFill="1" applyBorder="1" applyAlignment="1" applyProtection="1">
      <alignment horizontal="center" vertical="center"/>
      <protection hidden="1"/>
    </xf>
    <xf numFmtId="0" fontId="4" fillId="11" borderId="71" xfId="0" applyFont="1" applyFill="1" applyBorder="1" applyAlignment="1" applyProtection="1">
      <alignment horizontal="center" vertical="center"/>
      <protection hidden="1"/>
    </xf>
    <xf numFmtId="0" fontId="4" fillId="11" borderId="72" xfId="0" applyFont="1" applyFill="1" applyBorder="1" applyAlignment="1" applyProtection="1">
      <alignment horizontal="center" vertical="center"/>
      <protection hidden="1"/>
    </xf>
    <xf numFmtId="0" fontId="7" fillId="16" borderId="57" xfId="0" applyFont="1" applyFill="1" applyBorder="1" applyAlignment="1">
      <alignment horizontal="left"/>
    </xf>
    <xf numFmtId="0" fontId="10" fillId="5" borderId="69" xfId="0" applyFont="1" applyFill="1" applyBorder="1" applyAlignment="1" applyProtection="1">
      <alignment horizontal="center" vertical="center"/>
      <protection hidden="1"/>
    </xf>
    <xf numFmtId="0" fontId="7" fillId="6" borderId="57" xfId="0" applyFont="1" applyFill="1" applyBorder="1" applyAlignment="1">
      <alignment horizontal="left"/>
    </xf>
    <xf numFmtId="0" fontId="0" fillId="16" borderId="57" xfId="6" applyFont="1" applyFill="1" applyBorder="1" applyAlignment="1">
      <alignment horizontal="left"/>
    </xf>
    <xf numFmtId="0" fontId="10" fillId="11" borderId="86" xfId="0" applyFont="1" applyFill="1" applyBorder="1" applyProtection="1">
      <protection hidden="1"/>
    </xf>
    <xf numFmtId="0" fontId="10" fillId="11" borderId="88" xfId="0" applyFont="1" applyFill="1" applyBorder="1" applyProtection="1">
      <protection hidden="1"/>
    </xf>
    <xf numFmtId="0" fontId="10" fillId="26" borderId="69" xfId="0" applyFont="1" applyFill="1" applyBorder="1" applyAlignment="1" applyProtection="1">
      <alignment horizontal="center" vertical="center"/>
      <protection hidden="1"/>
    </xf>
    <xf numFmtId="0" fontId="7" fillId="6" borderId="57" xfId="0" applyFont="1" applyFill="1" applyBorder="1" applyAlignment="1">
      <alignment horizontal="left" vertical="center"/>
    </xf>
    <xf numFmtId="0" fontId="10" fillId="11" borderId="57" xfId="0" applyFont="1" applyFill="1" applyBorder="1" applyProtection="1">
      <protection hidden="1"/>
    </xf>
    <xf numFmtId="0" fontId="10" fillId="11" borderId="69" xfId="0" applyFont="1" applyFill="1" applyBorder="1" applyProtection="1">
      <protection hidden="1"/>
    </xf>
    <xf numFmtId="0" fontId="10" fillId="5" borderId="86" xfId="0" applyFont="1" applyFill="1" applyBorder="1" applyProtection="1">
      <protection hidden="1"/>
    </xf>
    <xf numFmtId="0" fontId="10" fillId="5" borderId="88" xfId="0" applyFont="1" applyFill="1" applyBorder="1" applyProtection="1">
      <protection hidden="1"/>
    </xf>
    <xf numFmtId="166" fontId="10" fillId="5" borderId="69" xfId="0" applyNumberFormat="1" applyFont="1" applyFill="1" applyBorder="1" applyAlignment="1" applyProtection="1">
      <alignment horizontal="center" vertical="center"/>
      <protection hidden="1"/>
    </xf>
    <xf numFmtId="166" fontId="10" fillId="12" borderId="69" xfId="0" applyNumberFormat="1" applyFont="1" applyFill="1" applyBorder="1" applyAlignment="1" applyProtection="1">
      <alignment horizontal="center" vertical="center"/>
      <protection hidden="1"/>
    </xf>
    <xf numFmtId="166" fontId="19" fillId="13" borderId="69" xfId="0" applyNumberFormat="1" applyFont="1" applyFill="1" applyBorder="1" applyAlignment="1" applyProtection="1">
      <alignment horizontal="center" vertical="center"/>
      <protection hidden="1"/>
    </xf>
    <xf numFmtId="0" fontId="41" fillId="5" borderId="89" xfId="0" applyFont="1" applyFill="1" applyBorder="1" applyAlignment="1" applyProtection="1">
      <alignment horizontal="left" indent="1"/>
      <protection hidden="1"/>
    </xf>
    <xf numFmtId="167" fontId="20" fillId="3" borderId="80" xfId="0" applyNumberFormat="1" applyFont="1" applyFill="1" applyBorder="1" applyAlignment="1" applyProtection="1">
      <alignment horizontal="center" vertical="center" wrapText="1"/>
      <protection hidden="1"/>
    </xf>
    <xf numFmtId="3" fontId="10" fillId="12" borderId="4" xfId="0" applyNumberFormat="1" applyFont="1" applyFill="1" applyBorder="1" applyAlignment="1" applyProtection="1">
      <alignment horizontal="center" vertical="center"/>
      <protection hidden="1"/>
    </xf>
    <xf numFmtId="2" fontId="10" fillId="7" borderId="1" xfId="0" applyNumberFormat="1" applyFont="1" applyFill="1" applyBorder="1" applyAlignment="1" applyProtection="1">
      <alignment horizontal="center" vertical="center"/>
      <protection locked="0" hidden="1"/>
    </xf>
    <xf numFmtId="2" fontId="36" fillId="7" borderId="4" xfId="0" applyNumberFormat="1" applyFont="1" applyFill="1" applyBorder="1" applyAlignment="1" applyProtection="1">
      <alignment horizontal="center" vertical="center"/>
      <protection locked="0" hidden="1"/>
    </xf>
    <xf numFmtId="0" fontId="0" fillId="0" borderId="53" xfId="0" applyBorder="1"/>
    <xf numFmtId="169" fontId="0" fillId="0" borderId="77" xfId="0" applyNumberFormat="1" applyBorder="1"/>
    <xf numFmtId="4" fontId="0" fillId="0" borderId="0" xfId="0" applyNumberFormat="1"/>
    <xf numFmtId="0" fontId="0" fillId="0" borderId="77" xfId="0" applyBorder="1"/>
    <xf numFmtId="0" fontId="5" fillId="27" borderId="68" xfId="0" applyFont="1" applyFill="1" applyBorder="1" applyAlignment="1">
      <alignment horizontal="left" vertical="center"/>
    </xf>
    <xf numFmtId="0" fontId="5" fillId="27" borderId="0" xfId="0" applyFont="1" applyFill="1" applyAlignment="1">
      <alignment horizontal="left" vertical="center"/>
    </xf>
    <xf numFmtId="0" fontId="0" fillId="0" borderId="90" xfId="0" applyBorder="1"/>
    <xf numFmtId="0" fontId="10" fillId="8" borderId="91" xfId="0" applyFont="1" applyFill="1" applyBorder="1" applyAlignment="1" applyProtection="1">
      <alignment horizontal="left" vertical="center" indent="1"/>
      <protection hidden="1"/>
    </xf>
    <xf numFmtId="8" fontId="49" fillId="28" borderId="0" xfId="0" applyNumberFormat="1" applyFont="1" applyFill="1"/>
    <xf numFmtId="0" fontId="27" fillId="15" borderId="42" xfId="0" applyFont="1" applyFill="1" applyBorder="1" applyAlignment="1" applyProtection="1">
      <alignment horizontal="center" vertical="center"/>
      <protection hidden="1"/>
    </xf>
    <xf numFmtId="0" fontId="27" fillId="15" borderId="43" xfId="0" applyFont="1" applyFill="1" applyBorder="1" applyAlignment="1" applyProtection="1">
      <alignment horizontal="center" vertical="center"/>
      <protection hidden="1"/>
    </xf>
    <xf numFmtId="0" fontId="27" fillId="15" borderId="44" xfId="0" applyFont="1" applyFill="1" applyBorder="1" applyAlignment="1" applyProtection="1">
      <alignment horizontal="center" vertical="center"/>
      <protection hidden="1"/>
    </xf>
    <xf numFmtId="166" fontId="10" fillId="5" borderId="0" xfId="0" applyNumberFormat="1" applyFont="1" applyFill="1" applyProtection="1">
      <protection hidden="1"/>
    </xf>
    <xf numFmtId="166" fontId="25" fillId="5" borderId="0" xfId="0" applyNumberFormat="1" applyFont="1" applyFill="1" applyAlignment="1" applyProtection="1">
      <alignment horizontal="center" vertical="center"/>
      <protection hidden="1"/>
    </xf>
    <xf numFmtId="0" fontId="21" fillId="5" borderId="0" xfId="0" applyFont="1" applyFill="1" applyAlignment="1" applyProtection="1">
      <alignment horizontal="left" vertical="top" wrapText="1"/>
      <protection hidden="1"/>
    </xf>
    <xf numFmtId="0" fontId="10" fillId="5" borderId="2" xfId="0" applyFont="1" applyFill="1" applyBorder="1" applyAlignment="1" applyProtection="1">
      <alignment horizontal="left" vertical="center" indent="1"/>
      <protection hidden="1"/>
    </xf>
    <xf numFmtId="0" fontId="10" fillId="5" borderId="41" xfId="0" applyFont="1" applyFill="1" applyBorder="1" applyAlignment="1" applyProtection="1">
      <alignment horizontal="left" vertical="center" indent="1"/>
      <protection hidden="1"/>
    </xf>
    <xf numFmtId="0" fontId="10" fillId="5" borderId="3" xfId="0" applyFont="1" applyFill="1" applyBorder="1" applyAlignment="1" applyProtection="1">
      <alignment horizontal="left" vertical="center" indent="1"/>
      <protection hidden="1"/>
    </xf>
    <xf numFmtId="0" fontId="10" fillId="0" borderId="2" xfId="0" applyFont="1" applyBorder="1" applyAlignment="1" applyProtection="1">
      <alignment horizontal="left" vertical="center" indent="1"/>
      <protection hidden="1"/>
    </xf>
    <xf numFmtId="0" fontId="10" fillId="0" borderId="41" xfId="0" applyFont="1" applyBorder="1" applyAlignment="1" applyProtection="1">
      <alignment horizontal="left" vertical="center" indent="1"/>
      <protection hidden="1"/>
    </xf>
    <xf numFmtId="0" fontId="10" fillId="0" borderId="3" xfId="0" applyFont="1" applyBorder="1" applyAlignment="1" applyProtection="1">
      <alignment horizontal="left" vertical="center" indent="1"/>
      <protection hidden="1"/>
    </xf>
    <xf numFmtId="166" fontId="10" fillId="5" borderId="2" xfId="0" applyNumberFormat="1" applyFont="1" applyFill="1" applyBorder="1" applyAlignment="1" applyProtection="1">
      <alignment horizontal="right" vertical="center" indent="3"/>
      <protection hidden="1"/>
    </xf>
    <xf numFmtId="166" fontId="10" fillId="5" borderId="3" xfId="0" applyNumberFormat="1" applyFont="1" applyFill="1" applyBorder="1" applyAlignment="1" applyProtection="1">
      <alignment horizontal="right" vertical="center" indent="3"/>
      <protection hidden="1"/>
    </xf>
    <xf numFmtId="166" fontId="13" fillId="14" borderId="2" xfId="0" applyNumberFormat="1" applyFont="1" applyFill="1" applyBorder="1" applyAlignment="1" applyProtection="1">
      <alignment horizontal="right" vertical="center" indent="3"/>
      <protection hidden="1"/>
    </xf>
    <xf numFmtId="166" fontId="13" fillId="14" borderId="3" xfId="0" applyNumberFormat="1" applyFont="1" applyFill="1" applyBorder="1" applyAlignment="1" applyProtection="1">
      <alignment horizontal="right" vertical="center" indent="3"/>
      <protection hidden="1"/>
    </xf>
    <xf numFmtId="0" fontId="10" fillId="5" borderId="2" xfId="0" applyFont="1" applyFill="1" applyBorder="1" applyAlignment="1" applyProtection="1">
      <alignment horizontal="left" vertical="center" indent="6"/>
      <protection hidden="1"/>
    </xf>
    <xf numFmtId="0" fontId="10" fillId="5" borderId="41" xfId="0" applyFont="1" applyFill="1" applyBorder="1" applyAlignment="1" applyProtection="1">
      <alignment horizontal="left" vertical="center" indent="6"/>
      <protection hidden="1"/>
    </xf>
    <xf numFmtId="0" fontId="10" fillId="5" borderId="3" xfId="0" applyFont="1" applyFill="1" applyBorder="1" applyAlignment="1" applyProtection="1">
      <alignment horizontal="left" vertical="center" indent="6"/>
      <protection hidden="1"/>
    </xf>
    <xf numFmtId="0" fontId="10" fillId="12" borderId="2" xfId="0" applyFont="1" applyFill="1" applyBorder="1" applyAlignment="1" applyProtection="1">
      <alignment horizontal="left" vertical="center" indent="3"/>
      <protection hidden="1"/>
    </xf>
    <xf numFmtId="0" fontId="10" fillId="12" borderId="41" xfId="0" applyFont="1" applyFill="1" applyBorder="1" applyAlignment="1" applyProtection="1">
      <alignment horizontal="left" vertical="center" indent="3"/>
      <protection hidden="1"/>
    </xf>
    <xf numFmtId="0" fontId="10" fillId="12" borderId="3" xfId="0" applyFont="1" applyFill="1" applyBorder="1" applyAlignment="1" applyProtection="1">
      <alignment horizontal="left" vertical="center" indent="3"/>
      <protection hidden="1"/>
    </xf>
    <xf numFmtId="0" fontId="10" fillId="5" borderId="2" xfId="0" applyFont="1" applyFill="1" applyBorder="1" applyAlignment="1" applyProtection="1">
      <alignment horizontal="left" vertical="center"/>
      <protection hidden="1"/>
    </xf>
    <xf numFmtId="0" fontId="10" fillId="5" borderId="41" xfId="0" applyFont="1" applyFill="1" applyBorder="1" applyAlignment="1" applyProtection="1">
      <alignment horizontal="left" vertical="center"/>
      <protection hidden="1"/>
    </xf>
    <xf numFmtId="0" fontId="10" fillId="5" borderId="3" xfId="0" applyFont="1" applyFill="1" applyBorder="1" applyAlignment="1" applyProtection="1">
      <alignment horizontal="left" vertical="center"/>
      <protection hidden="1"/>
    </xf>
    <xf numFmtId="0" fontId="19" fillId="13" borderId="2" xfId="0" applyFont="1" applyFill="1" applyBorder="1" applyAlignment="1" applyProtection="1">
      <alignment horizontal="left" vertical="center" indent="4"/>
      <protection hidden="1"/>
    </xf>
    <xf numFmtId="0" fontId="19" fillId="13" borderId="41" xfId="0" applyFont="1" applyFill="1" applyBorder="1" applyAlignment="1" applyProtection="1">
      <alignment horizontal="left" vertical="center" indent="4"/>
      <protection hidden="1"/>
    </xf>
    <xf numFmtId="0" fontId="19" fillId="13" borderId="3" xfId="0" applyFont="1" applyFill="1" applyBorder="1" applyAlignment="1" applyProtection="1">
      <alignment horizontal="left" vertical="center" indent="4"/>
      <protection hidden="1"/>
    </xf>
    <xf numFmtId="1" fontId="14" fillId="7" borderId="2" xfId="0" applyNumberFormat="1" applyFont="1" applyFill="1" applyBorder="1" applyAlignment="1" applyProtection="1">
      <alignment horizontal="center" vertical="center" wrapText="1"/>
      <protection locked="0"/>
    </xf>
    <xf numFmtId="1" fontId="14" fillId="7" borderId="3" xfId="0" applyNumberFormat="1" applyFont="1" applyFill="1" applyBorder="1" applyAlignment="1" applyProtection="1">
      <alignment horizontal="center" vertical="center" wrapText="1"/>
      <protection locked="0"/>
    </xf>
    <xf numFmtId="0" fontId="10" fillId="5" borderId="40" xfId="0" applyFont="1" applyFill="1" applyBorder="1" applyAlignment="1" applyProtection="1">
      <alignment horizontal="left" vertical="center" wrapText="1"/>
      <protection hidden="1"/>
    </xf>
    <xf numFmtId="0" fontId="11" fillId="20" borderId="0" xfId="0" applyFont="1" applyFill="1" applyAlignment="1" applyProtection="1">
      <alignment horizontal="left" vertical="center" wrapText="1"/>
      <protection hidden="1"/>
    </xf>
    <xf numFmtId="166" fontId="13" fillId="6" borderId="15" xfId="0" applyNumberFormat="1" applyFont="1" applyFill="1" applyBorder="1" applyAlignment="1" applyProtection="1">
      <alignment horizontal="right" vertical="center" indent="1"/>
      <protection hidden="1"/>
    </xf>
    <xf numFmtId="0" fontId="20" fillId="11" borderId="18" xfId="0" applyFont="1" applyFill="1" applyBorder="1" applyAlignment="1" applyProtection="1">
      <alignment horizontal="center" vertical="center"/>
      <protection hidden="1"/>
    </xf>
    <xf numFmtId="0" fontId="13" fillId="11" borderId="1" xfId="0" applyFont="1" applyFill="1" applyBorder="1" applyAlignment="1" applyProtection="1">
      <alignment horizontal="center" vertical="center" wrapText="1"/>
      <protection hidden="1"/>
    </xf>
    <xf numFmtId="0" fontId="13" fillId="11" borderId="30" xfId="0" applyFont="1" applyFill="1" applyBorder="1" applyAlignment="1" applyProtection="1">
      <alignment horizontal="center" vertical="center" wrapText="1"/>
      <protection hidden="1"/>
    </xf>
    <xf numFmtId="1" fontId="20" fillId="11" borderId="18" xfId="0" applyNumberFormat="1" applyFont="1" applyFill="1" applyBorder="1" applyAlignment="1" applyProtection="1">
      <alignment horizontal="center" vertical="center"/>
      <protection hidden="1"/>
    </xf>
    <xf numFmtId="1" fontId="13" fillId="2" borderId="1" xfId="0" applyNumberFormat="1" applyFont="1" applyFill="1" applyBorder="1" applyAlignment="1" applyProtection="1">
      <alignment horizontal="center" vertical="center" wrapText="1"/>
      <protection hidden="1"/>
    </xf>
    <xf numFmtId="1" fontId="13" fillId="2" borderId="30" xfId="0" applyNumberFormat="1" applyFont="1" applyFill="1" applyBorder="1" applyAlignment="1" applyProtection="1">
      <alignment horizontal="center" vertical="center" wrapText="1"/>
      <protection hidden="1"/>
    </xf>
    <xf numFmtId="166" fontId="20" fillId="11" borderId="18" xfId="0" applyNumberFormat="1" applyFont="1" applyFill="1" applyBorder="1" applyAlignment="1" applyProtection="1">
      <alignment horizontal="center" vertical="center" wrapText="1"/>
      <protection hidden="1"/>
    </xf>
    <xf numFmtId="166" fontId="13" fillId="11" borderId="1" xfId="0" applyNumberFormat="1" applyFont="1" applyFill="1" applyBorder="1" applyAlignment="1" applyProtection="1">
      <alignment horizontal="center" vertical="center" wrapText="1"/>
      <protection hidden="1"/>
    </xf>
    <xf numFmtId="166" fontId="13" fillId="11" borderId="30" xfId="0" applyNumberFormat="1" applyFont="1" applyFill="1" applyBorder="1" applyAlignment="1" applyProtection="1">
      <alignment horizontal="center" vertical="center" wrapText="1"/>
      <protection hidden="1"/>
    </xf>
    <xf numFmtId="166" fontId="20" fillId="11" borderId="19" xfId="0" applyNumberFormat="1" applyFont="1" applyFill="1" applyBorder="1" applyAlignment="1" applyProtection="1">
      <alignment horizontal="center" vertical="center" wrapText="1"/>
      <protection hidden="1"/>
    </xf>
    <xf numFmtId="166" fontId="20" fillId="11" borderId="25" xfId="0" applyNumberFormat="1" applyFont="1" applyFill="1" applyBorder="1" applyAlignment="1" applyProtection="1">
      <alignment horizontal="center" vertical="center" wrapText="1"/>
      <protection hidden="1"/>
    </xf>
    <xf numFmtId="166" fontId="20" fillId="11" borderId="31" xfId="0" applyNumberFormat="1" applyFont="1" applyFill="1" applyBorder="1" applyAlignment="1" applyProtection="1">
      <alignment horizontal="center" vertical="center" wrapText="1"/>
      <protection hidden="1"/>
    </xf>
    <xf numFmtId="166" fontId="10" fillId="3" borderId="1" xfId="0" quotePrefix="1" applyNumberFormat="1" applyFont="1" applyFill="1" applyBorder="1" applyAlignment="1" applyProtection="1">
      <alignment horizontal="center" vertical="center" wrapText="1"/>
      <protection hidden="1"/>
    </xf>
    <xf numFmtId="0" fontId="4" fillId="11" borderId="71" xfId="0" applyFont="1" applyFill="1" applyBorder="1" applyAlignment="1" applyProtection="1">
      <alignment horizontal="center" vertical="center"/>
      <protection hidden="1"/>
    </xf>
    <xf numFmtId="0" fontId="4" fillId="11" borderId="57" xfId="0" applyFont="1" applyFill="1" applyBorder="1" applyAlignment="1" applyProtection="1">
      <alignment horizontal="center" vertical="center" wrapText="1"/>
      <protection hidden="1"/>
    </xf>
    <xf numFmtId="0" fontId="4" fillId="11" borderId="72" xfId="0" applyFont="1" applyFill="1" applyBorder="1" applyAlignment="1" applyProtection="1">
      <alignment horizontal="center" vertical="center"/>
      <protection hidden="1"/>
    </xf>
    <xf numFmtId="0" fontId="4" fillId="11" borderId="69" xfId="0" applyFont="1" applyFill="1" applyBorder="1" applyAlignment="1" applyProtection="1">
      <alignment horizontal="center" vertical="center" wrapText="1"/>
      <protection hidden="1"/>
    </xf>
    <xf numFmtId="167" fontId="20" fillId="3" borderId="16" xfId="0" applyNumberFormat="1" applyFont="1" applyFill="1" applyBorder="1" applyAlignment="1" applyProtection="1">
      <alignment horizontal="center" vertical="center" wrapText="1"/>
      <protection hidden="1"/>
    </xf>
    <xf numFmtId="167" fontId="13" fillId="3" borderId="23" xfId="0" applyNumberFormat="1" applyFont="1" applyFill="1" applyBorder="1" applyAlignment="1" applyProtection="1">
      <alignment horizontal="center" vertical="center" wrapText="1"/>
      <protection hidden="1"/>
    </xf>
    <xf numFmtId="167" fontId="13" fillId="3" borderId="28" xfId="0" applyNumberFormat="1" applyFont="1" applyFill="1" applyBorder="1" applyAlignment="1" applyProtection="1">
      <alignment horizontal="center" vertical="center" wrapText="1"/>
      <protection hidden="1"/>
    </xf>
    <xf numFmtId="0" fontId="20" fillId="11" borderId="17" xfId="0" applyFont="1" applyFill="1" applyBorder="1" applyAlignment="1" applyProtection="1">
      <alignment horizontal="center" vertical="center"/>
      <protection hidden="1"/>
    </xf>
    <xf numFmtId="0" fontId="13" fillId="11" borderId="24" xfId="0" applyFont="1" applyFill="1" applyBorder="1" applyAlignment="1" applyProtection="1">
      <alignment horizontal="center" vertical="center" wrapText="1"/>
      <protection hidden="1"/>
    </xf>
    <xf numFmtId="0" fontId="13" fillId="11" borderId="29" xfId="0" applyFont="1" applyFill="1" applyBorder="1" applyAlignment="1" applyProtection="1">
      <alignment horizontal="center" vertical="center" wrapText="1"/>
      <protection hidden="1"/>
    </xf>
    <xf numFmtId="166" fontId="10" fillId="3" borderId="2" xfId="0" quotePrefix="1" applyNumberFormat="1" applyFont="1" applyFill="1" applyBorder="1" applyAlignment="1" applyProtection="1">
      <alignment horizontal="center" vertical="center"/>
      <protection hidden="1"/>
    </xf>
    <xf numFmtId="166" fontId="10" fillId="3" borderId="3" xfId="0" quotePrefix="1" applyNumberFormat="1" applyFont="1" applyFill="1" applyBorder="1" applyAlignment="1" applyProtection="1">
      <alignment horizontal="center" vertical="center"/>
      <protection hidden="1"/>
    </xf>
    <xf numFmtId="168" fontId="10" fillId="5" borderId="2" xfId="0" applyNumberFormat="1" applyFont="1" applyFill="1" applyBorder="1" applyAlignment="1" applyProtection="1">
      <alignment horizontal="center" vertical="center"/>
      <protection hidden="1"/>
    </xf>
    <xf numFmtId="168" fontId="10" fillId="5" borderId="3" xfId="0" applyNumberFormat="1" applyFont="1" applyFill="1" applyBorder="1" applyAlignment="1" applyProtection="1">
      <alignment horizontal="center" vertical="center"/>
      <protection hidden="1"/>
    </xf>
    <xf numFmtId="168" fontId="10" fillId="5" borderId="1" xfId="1" applyNumberFormat="1" applyFont="1" applyFill="1" applyBorder="1" applyAlignment="1" applyProtection="1">
      <alignment horizontal="center" vertical="center"/>
      <protection hidden="1"/>
    </xf>
    <xf numFmtId="2" fontId="20" fillId="3" borderId="18" xfId="0" applyNumberFormat="1" applyFont="1" applyFill="1" applyBorder="1" applyAlignment="1" applyProtection="1">
      <alignment horizontal="center" vertical="center" wrapText="1"/>
      <protection hidden="1"/>
    </xf>
    <xf numFmtId="2" fontId="13" fillId="3" borderId="1" xfId="0" applyNumberFormat="1" applyFont="1" applyFill="1" applyBorder="1" applyAlignment="1" applyProtection="1">
      <alignment horizontal="center" vertical="center" wrapText="1"/>
      <protection hidden="1"/>
    </xf>
    <xf numFmtId="2" fontId="13" fillId="3" borderId="30" xfId="0" applyNumberFormat="1" applyFont="1" applyFill="1" applyBorder="1" applyAlignment="1" applyProtection="1">
      <alignment horizontal="center" vertical="center" wrapText="1"/>
      <protection hidden="1"/>
    </xf>
    <xf numFmtId="2" fontId="20" fillId="3" borderId="20" xfId="0" applyNumberFormat="1" applyFont="1" applyFill="1" applyBorder="1" applyAlignment="1" applyProtection="1">
      <alignment horizontal="center" vertical="center" wrapText="1"/>
      <protection hidden="1"/>
    </xf>
    <xf numFmtId="2" fontId="13" fillId="3" borderId="26" xfId="0" applyNumberFormat="1" applyFont="1" applyFill="1" applyBorder="1" applyAlignment="1" applyProtection="1">
      <alignment horizontal="center" vertical="center" wrapText="1"/>
      <protection hidden="1"/>
    </xf>
    <xf numFmtId="2" fontId="13" fillId="3" borderId="32" xfId="0" applyNumberFormat="1" applyFont="1" applyFill="1" applyBorder="1" applyAlignment="1" applyProtection="1">
      <alignment horizontal="center" vertical="center" wrapText="1"/>
      <protection hidden="1"/>
    </xf>
    <xf numFmtId="166" fontId="20" fillId="11" borderId="20" xfId="0" applyNumberFormat="1" applyFont="1" applyFill="1" applyBorder="1" applyAlignment="1" applyProtection="1">
      <alignment horizontal="center" vertical="center" wrapText="1"/>
      <protection hidden="1"/>
    </xf>
    <xf numFmtId="166" fontId="13" fillId="11" borderId="26" xfId="0" applyNumberFormat="1" applyFont="1" applyFill="1" applyBorder="1" applyAlignment="1" applyProtection="1">
      <alignment horizontal="center" vertical="center" wrapText="1"/>
      <protection hidden="1"/>
    </xf>
    <xf numFmtId="166" fontId="13" fillId="11" borderId="32" xfId="0" applyNumberFormat="1" applyFont="1" applyFill="1" applyBorder="1" applyAlignment="1" applyProtection="1">
      <alignment horizontal="center" vertical="center" wrapText="1"/>
      <protection hidden="1"/>
    </xf>
    <xf numFmtId="167" fontId="20" fillId="3" borderId="21" xfId="0" applyNumberFormat="1" applyFont="1" applyFill="1" applyBorder="1" applyAlignment="1" applyProtection="1">
      <alignment horizontal="center" vertical="center" wrapText="1"/>
      <protection hidden="1"/>
    </xf>
    <xf numFmtId="167" fontId="20" fillId="3" borderId="27" xfId="0" applyNumberFormat="1" applyFont="1" applyFill="1" applyBorder="1" applyAlignment="1" applyProtection="1">
      <alignment horizontal="center" vertical="center" wrapText="1"/>
      <protection hidden="1"/>
    </xf>
    <xf numFmtId="167" fontId="20" fillId="3" borderId="33" xfId="0" applyNumberFormat="1" applyFont="1" applyFill="1" applyBorder="1" applyAlignment="1" applyProtection="1">
      <alignment horizontal="center" vertical="center" wrapText="1"/>
      <protection hidden="1"/>
    </xf>
    <xf numFmtId="2" fontId="20" fillId="3" borderId="19" xfId="0" applyNumberFormat="1" applyFont="1" applyFill="1" applyBorder="1" applyAlignment="1" applyProtection="1">
      <alignment horizontal="center" vertical="center" wrapText="1"/>
      <protection hidden="1"/>
    </xf>
    <xf numFmtId="2" fontId="20" fillId="3" borderId="25" xfId="0" applyNumberFormat="1" applyFont="1" applyFill="1" applyBorder="1" applyAlignment="1" applyProtection="1">
      <alignment horizontal="center" vertical="center" wrapText="1"/>
      <protection hidden="1"/>
    </xf>
    <xf numFmtId="2" fontId="20" fillId="3" borderId="31" xfId="0" applyNumberFormat="1" applyFont="1" applyFill="1" applyBorder="1" applyAlignment="1" applyProtection="1">
      <alignment horizontal="center" vertical="center" wrapText="1"/>
      <protection hidden="1"/>
    </xf>
    <xf numFmtId="0" fontId="43" fillId="0" borderId="71" xfId="0" applyFont="1" applyBorder="1" applyAlignment="1">
      <alignment horizontal="center" vertical="center"/>
    </xf>
    <xf numFmtId="0" fontId="44" fillId="0" borderId="57" xfId="0" applyFont="1" applyBorder="1" applyAlignment="1">
      <alignment horizontal="center" vertical="center"/>
    </xf>
    <xf numFmtId="0" fontId="43" fillId="0" borderId="72" xfId="0" applyFont="1" applyBorder="1" applyAlignment="1">
      <alignment horizontal="center" vertical="center" wrapText="1"/>
    </xf>
    <xf numFmtId="0" fontId="43" fillId="0" borderId="69" xfId="0" applyFont="1" applyBorder="1" applyAlignment="1">
      <alignment horizontal="center" vertical="center"/>
    </xf>
    <xf numFmtId="0" fontId="10" fillId="5" borderId="57" xfId="0" applyFont="1" applyFill="1" applyBorder="1" applyAlignment="1" applyProtection="1">
      <alignment horizontal="left" vertical="center" indent="1"/>
      <protection hidden="1"/>
    </xf>
    <xf numFmtId="0" fontId="10" fillId="5" borderId="1" xfId="0" applyFont="1" applyFill="1" applyBorder="1" applyAlignment="1" applyProtection="1">
      <alignment horizontal="left" vertical="center" indent="1"/>
      <protection hidden="1"/>
    </xf>
    <xf numFmtId="0" fontId="19" fillId="13" borderId="57" xfId="0" applyFont="1" applyFill="1" applyBorder="1" applyAlignment="1" applyProtection="1">
      <alignment horizontal="left" vertical="center" indent="2"/>
      <protection hidden="1"/>
    </xf>
    <xf numFmtId="0" fontId="19" fillId="13" borderId="1" xfId="0" applyFont="1" applyFill="1" applyBorder="1" applyAlignment="1" applyProtection="1">
      <alignment horizontal="left" vertical="center" indent="2"/>
      <protection hidden="1"/>
    </xf>
    <xf numFmtId="0" fontId="10" fillId="5" borderId="57" xfId="0" applyFont="1" applyFill="1" applyBorder="1" applyAlignment="1" applyProtection="1">
      <alignment horizontal="left" vertical="center" indent="4"/>
      <protection hidden="1"/>
    </xf>
    <xf numFmtId="0" fontId="10" fillId="5" borderId="1" xfId="0" applyFont="1" applyFill="1" applyBorder="1" applyAlignment="1" applyProtection="1">
      <alignment horizontal="left" vertical="center" indent="4"/>
      <protection hidden="1"/>
    </xf>
    <xf numFmtId="1" fontId="23" fillId="0" borderId="8" xfId="0" applyNumberFormat="1" applyFont="1" applyBorder="1" applyAlignment="1" applyProtection="1">
      <alignment horizontal="left" vertical="center" wrapText="1"/>
      <protection hidden="1"/>
    </xf>
    <xf numFmtId="0" fontId="23" fillId="0" borderId="45" xfId="0" applyFont="1" applyBorder="1" applyAlignment="1" applyProtection="1">
      <alignment horizontal="left" vertical="center" wrapText="1"/>
      <protection hidden="1"/>
    </xf>
    <xf numFmtId="0" fontId="23" fillId="0" borderId="7" xfId="0" applyFont="1" applyBorder="1" applyAlignment="1" applyProtection="1">
      <alignment horizontal="left" vertical="center" wrapText="1"/>
      <protection hidden="1"/>
    </xf>
    <xf numFmtId="0" fontId="10" fillId="6" borderId="2" xfId="0" applyFont="1" applyFill="1" applyBorder="1" applyAlignment="1" applyProtection="1">
      <alignment horizontal="center" vertical="center" wrapText="1"/>
      <protection hidden="1"/>
    </xf>
    <xf numFmtId="0" fontId="10" fillId="6" borderId="41" xfId="0" applyFont="1" applyFill="1" applyBorder="1" applyAlignment="1" applyProtection="1">
      <alignment horizontal="center" vertical="center" wrapText="1"/>
      <protection hidden="1"/>
    </xf>
    <xf numFmtId="0" fontId="10" fillId="6" borderId="3" xfId="0" applyFont="1" applyFill="1" applyBorder="1" applyAlignment="1" applyProtection="1">
      <alignment horizontal="center" vertical="center" wrapText="1"/>
      <protection hidden="1"/>
    </xf>
    <xf numFmtId="14" fontId="10" fillId="6" borderId="2" xfId="0" applyNumberFormat="1" applyFont="1" applyFill="1" applyBorder="1" applyAlignment="1" applyProtection="1">
      <alignment horizontal="center" vertical="center" wrapText="1"/>
      <protection hidden="1"/>
    </xf>
    <xf numFmtId="14" fontId="10" fillId="6" borderId="41" xfId="0" applyNumberFormat="1" applyFont="1" applyFill="1" applyBorder="1" applyAlignment="1" applyProtection="1">
      <alignment horizontal="center" vertical="center" wrapText="1"/>
      <protection hidden="1"/>
    </xf>
    <xf numFmtId="14" fontId="10" fillId="6" borderId="3" xfId="0" applyNumberFormat="1" applyFont="1" applyFill="1" applyBorder="1" applyAlignment="1" applyProtection="1">
      <alignment horizontal="center" vertical="center" wrapText="1"/>
      <protection hidden="1"/>
    </xf>
    <xf numFmtId="0" fontId="10" fillId="5" borderId="86" xfId="0" applyFont="1" applyFill="1" applyBorder="1" applyAlignment="1" applyProtection="1">
      <alignment horizontal="left" vertical="center" indent="4"/>
      <protection hidden="1"/>
    </xf>
    <xf numFmtId="0" fontId="10" fillId="5" borderId="87" xfId="0" applyFont="1" applyFill="1" applyBorder="1" applyAlignment="1" applyProtection="1">
      <alignment horizontal="left" vertical="center" indent="4"/>
      <protection hidden="1"/>
    </xf>
    <xf numFmtId="166" fontId="10" fillId="5" borderId="73" xfId="0" applyNumberFormat="1" applyFont="1" applyFill="1" applyBorder="1" applyAlignment="1" applyProtection="1">
      <alignment horizontal="center" vertical="center"/>
      <protection hidden="1"/>
    </xf>
    <xf numFmtId="166" fontId="10" fillId="5" borderId="72" xfId="0" applyNumberFormat="1" applyFont="1" applyFill="1" applyBorder="1" applyAlignment="1" applyProtection="1">
      <alignment horizontal="center" vertical="center"/>
      <protection hidden="1"/>
    </xf>
    <xf numFmtId="166" fontId="10" fillId="5" borderId="1" xfId="0" applyNumberFormat="1" applyFont="1" applyFill="1" applyBorder="1" applyAlignment="1" applyProtection="1">
      <alignment horizontal="center" vertical="center"/>
      <protection hidden="1"/>
    </xf>
    <xf numFmtId="166" fontId="10" fillId="5" borderId="69" xfId="0" applyNumberFormat="1" applyFont="1" applyFill="1" applyBorder="1" applyAlignment="1" applyProtection="1">
      <alignment horizontal="center" vertical="center"/>
      <protection hidden="1"/>
    </xf>
    <xf numFmtId="0" fontId="10" fillId="5" borderId="71" xfId="0" applyFont="1" applyFill="1" applyBorder="1" applyAlignment="1" applyProtection="1">
      <alignment horizontal="left" vertical="center" indent="1"/>
      <protection hidden="1"/>
    </xf>
    <xf numFmtId="0" fontId="10" fillId="5" borderId="73" xfId="0" applyFont="1" applyFill="1" applyBorder="1" applyAlignment="1" applyProtection="1">
      <alignment horizontal="left" vertical="center" indent="1"/>
      <protection hidden="1"/>
    </xf>
    <xf numFmtId="0" fontId="32" fillId="5" borderId="0" xfId="0" applyFont="1" applyFill="1" applyAlignment="1" applyProtection="1">
      <alignment horizontal="left" vertical="top" wrapText="1"/>
      <protection hidden="1"/>
    </xf>
    <xf numFmtId="166" fontId="13" fillId="14" borderId="87" xfId="0" applyNumberFormat="1" applyFont="1" applyFill="1" applyBorder="1" applyAlignment="1" applyProtection="1">
      <alignment horizontal="right" vertical="center" indent="2"/>
      <protection hidden="1"/>
    </xf>
    <xf numFmtId="166" fontId="13" fillId="14" borderId="88" xfId="0" applyNumberFormat="1" applyFont="1" applyFill="1" applyBorder="1" applyAlignment="1" applyProtection="1">
      <alignment horizontal="right" vertical="center" indent="2"/>
      <protection hidden="1"/>
    </xf>
    <xf numFmtId="166" fontId="20" fillId="6" borderId="64" xfId="0" applyNumberFormat="1" applyFont="1" applyFill="1" applyBorder="1" applyAlignment="1" applyProtection="1">
      <alignment horizontal="center" vertical="center" wrapText="1"/>
      <protection hidden="1"/>
    </xf>
    <xf numFmtId="166" fontId="13" fillId="6" borderId="66" xfId="0" applyNumberFormat="1" applyFont="1" applyFill="1" applyBorder="1" applyAlignment="1" applyProtection="1">
      <alignment horizontal="center" vertical="center" wrapText="1"/>
      <protection hidden="1"/>
    </xf>
    <xf numFmtId="166" fontId="13" fillId="6" borderId="79" xfId="0" applyNumberFormat="1" applyFont="1" applyFill="1" applyBorder="1" applyAlignment="1" applyProtection="1">
      <alignment horizontal="center" vertical="center" wrapText="1"/>
      <protection hidden="1"/>
    </xf>
    <xf numFmtId="0" fontId="20" fillId="6" borderId="62" xfId="0" applyFont="1" applyFill="1" applyBorder="1" applyAlignment="1" applyProtection="1">
      <alignment horizontal="center" vertical="center"/>
      <protection hidden="1"/>
    </xf>
    <xf numFmtId="0" fontId="13" fillId="6" borderId="65" xfId="0" applyFont="1" applyFill="1" applyBorder="1" applyAlignment="1" applyProtection="1">
      <alignment horizontal="center" vertical="center" wrapText="1"/>
      <protection hidden="1"/>
    </xf>
    <xf numFmtId="0" fontId="13" fillId="6" borderId="78" xfId="0" applyFont="1" applyFill="1" applyBorder="1" applyAlignment="1" applyProtection="1">
      <alignment horizontal="center" vertical="center" wrapText="1"/>
      <protection hidden="1"/>
    </xf>
    <xf numFmtId="0" fontId="20" fillId="6" borderId="63" xfId="0" applyFont="1" applyFill="1" applyBorder="1" applyAlignment="1" applyProtection="1">
      <alignment horizontal="center" vertical="center"/>
      <protection hidden="1"/>
    </xf>
    <xf numFmtId="0" fontId="13" fillId="6" borderId="22" xfId="0" applyFont="1" applyFill="1" applyBorder="1" applyAlignment="1" applyProtection="1">
      <alignment horizontal="center" vertical="center" wrapText="1"/>
      <protection hidden="1"/>
    </xf>
    <xf numFmtId="0" fontId="13" fillId="6" borderId="81" xfId="0" applyFont="1" applyFill="1" applyBorder="1" applyAlignment="1" applyProtection="1">
      <alignment horizontal="center" vertical="center" wrapText="1"/>
      <protection hidden="1"/>
    </xf>
    <xf numFmtId="1" fontId="20" fillId="6" borderId="63" xfId="0" applyNumberFormat="1" applyFont="1" applyFill="1" applyBorder="1" applyAlignment="1" applyProtection="1">
      <alignment horizontal="center" vertical="center"/>
      <protection hidden="1"/>
    </xf>
    <xf numFmtId="1" fontId="13" fillId="6" borderId="22" xfId="0" applyNumberFormat="1" applyFont="1" applyFill="1" applyBorder="1" applyAlignment="1" applyProtection="1">
      <alignment horizontal="center" vertical="center" wrapText="1"/>
      <protection hidden="1"/>
    </xf>
    <xf numFmtId="1" fontId="13" fillId="6" borderId="81" xfId="0" applyNumberFormat="1" applyFont="1" applyFill="1" applyBorder="1" applyAlignment="1" applyProtection="1">
      <alignment horizontal="center" vertical="center" wrapText="1"/>
      <protection hidden="1"/>
    </xf>
    <xf numFmtId="166" fontId="20" fillId="6" borderId="63" xfId="0" applyNumberFormat="1" applyFont="1" applyFill="1" applyBorder="1" applyAlignment="1" applyProtection="1">
      <alignment horizontal="center" vertical="center" wrapText="1"/>
      <protection hidden="1"/>
    </xf>
    <xf numFmtId="166" fontId="13" fillId="6" borderId="22" xfId="0" applyNumberFormat="1" applyFont="1" applyFill="1" applyBorder="1" applyAlignment="1" applyProtection="1">
      <alignment horizontal="center" vertical="center" wrapText="1"/>
      <protection hidden="1"/>
    </xf>
    <xf numFmtId="166" fontId="13" fillId="6" borderId="81" xfId="0" applyNumberFormat="1" applyFont="1" applyFill="1" applyBorder="1" applyAlignment="1" applyProtection="1">
      <alignment horizontal="center" vertical="center" wrapText="1"/>
      <protection hidden="1"/>
    </xf>
    <xf numFmtId="0" fontId="31" fillId="15" borderId="42" xfId="0" applyFont="1" applyFill="1" applyBorder="1" applyAlignment="1" applyProtection="1">
      <alignment horizontal="center" vertical="center"/>
      <protection hidden="1"/>
    </xf>
    <xf numFmtId="0" fontId="31" fillId="15" borderId="43" xfId="0" applyFont="1" applyFill="1" applyBorder="1" applyAlignment="1" applyProtection="1">
      <alignment horizontal="center" vertical="center"/>
      <protection hidden="1"/>
    </xf>
    <xf numFmtId="0" fontId="31" fillId="15" borderId="44" xfId="0" applyFont="1" applyFill="1" applyBorder="1" applyAlignment="1" applyProtection="1">
      <alignment horizontal="center" vertical="center"/>
      <protection hidden="1"/>
    </xf>
  </cellXfs>
  <cellStyles count="10">
    <cellStyle name="Calculation" xfId="6" builtinId="22"/>
    <cellStyle name="Currency" xfId="7" builtinId="4"/>
    <cellStyle name="Currency 2" xfId="4" xr:uid="{4460ED58-A4B7-4744-864E-86E2F8C61221}"/>
    <cellStyle name="Currency 3" xfId="3" xr:uid="{77B7F5FA-DF7C-4487-BAE4-F76287D6B74E}"/>
    <cellStyle name="Good" xfId="8" builtinId="26"/>
    <cellStyle name="Input" xfId="9" builtinId="20"/>
    <cellStyle name="Normal" xfId="0" builtinId="0"/>
    <cellStyle name="Normal 2" xfId="5" xr:uid="{755D4242-89EE-4AFB-AE9E-8248205BDDD3}"/>
    <cellStyle name="Normal 3" xfId="2" xr:uid="{217E3D2D-BE21-4FBA-8B53-96259A6C9110}"/>
    <cellStyle name="Percent" xfId="1" builtinId="5"/>
  </cellStyles>
  <dxfs count="125">
    <dxf>
      <font>
        <color auto="1"/>
        <name val="Calibri"/>
        <family val="2"/>
        <scheme val="none"/>
      </font>
      <fill>
        <patternFill patternType="none">
          <bgColor auto="1"/>
        </patternFill>
      </fill>
    </dxf>
    <dxf>
      <font>
        <b val="0"/>
        <i val="0"/>
        <strike val="0"/>
        <condense val="0"/>
        <extend val="0"/>
        <outline val="0"/>
        <shadow val="0"/>
        <u val="none"/>
        <vertAlign val="baseline"/>
        <sz val="11"/>
        <color auto="1"/>
        <name val="Calibri"/>
        <family val="2"/>
        <scheme val="none"/>
      </font>
      <fill>
        <patternFill patternType="none">
          <bgColor auto="1"/>
        </patternFill>
      </fill>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fill>
        <patternFill patternType="none">
          <bgColor auto="1"/>
        </patternFill>
      </fill>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numFmt numFmtId="14" formatCode="0.00%"/>
      <fill>
        <patternFill patternType="none">
          <bgColor auto="1"/>
        </patternFill>
      </fill>
      <border diagonalUp="0" diagonalDown="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numFmt numFmtId="169" formatCode="_-[$$-409]* #,##0.00_ ;_-[$$-409]* \-#,##0.00\ ;_-[$$-409]* &quot;-&quot;??_ ;_-@_ "/>
      <fill>
        <patternFill patternType="none">
          <bgColor auto="1"/>
        </patternFill>
      </fill>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numFmt numFmtId="169" formatCode="_-[$$-409]* #,##0.00_ ;_-[$$-409]* \-#,##0.00\ ;_-[$$-409]* &quot;-&quot;??_ ;_-@_ "/>
      <fill>
        <patternFill patternType="none">
          <bgColor auto="1"/>
        </patternFill>
      </fill>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numFmt numFmtId="2" formatCode="0.00"/>
      <fill>
        <patternFill patternType="none">
          <bgColor auto="1"/>
        </patternFill>
      </fill>
      <alignment horizontal="center" vertical="bottom" textRotation="0" wrapText="0" indent="0" justifyLastLine="0" shrinkToFit="0" readingOrder="0"/>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numFmt numFmtId="2" formatCode="0.00"/>
      <fill>
        <patternFill patternType="none">
          <bgColor auto="1"/>
        </patternFill>
      </fill>
      <alignment horizontal="center" vertical="bottom" textRotation="0" wrapText="0" indent="0" justifyLastLine="0" shrinkToFit="0" readingOrder="0"/>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numFmt numFmtId="2" formatCode="0.00"/>
      <fill>
        <patternFill patternType="none">
          <bgColor auto="1"/>
        </patternFill>
      </fill>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numFmt numFmtId="169" formatCode="_-[$$-409]* #,##0.00_ ;_-[$$-409]* \-#,##0.00\ ;_-[$$-409]* &quot;-&quot;??_ ;_-@_ "/>
      <fill>
        <patternFill patternType="none">
          <bgColor auto="1"/>
        </patternFill>
      </fill>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numFmt numFmtId="169" formatCode="_-[$$-409]* #,##0.00_ ;_-[$$-409]* \-#,##0.00\ ;_-[$$-409]* &quot;-&quot;??_ ;_-@_ "/>
      <fill>
        <patternFill patternType="none">
          <bgColor auto="1"/>
        </patternFill>
      </fill>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numFmt numFmtId="169" formatCode="_-[$$-409]* #,##0.00_ ;_-[$$-409]* \-#,##0.00\ ;_-[$$-409]* &quot;-&quot;??_ ;_-@_ "/>
      <fill>
        <patternFill patternType="none">
          <bgColor auto="1"/>
        </patternFill>
      </fill>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numFmt numFmtId="169" formatCode="_-[$$-409]* #,##0.00_ ;_-[$$-409]* \-#,##0.00\ ;_-[$$-409]* &quot;-&quot;??_ ;_-@_ "/>
      <fill>
        <patternFill patternType="none">
          <bgColor auto="1"/>
        </patternFill>
      </fill>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numFmt numFmtId="169" formatCode="_-[$$-409]* #,##0.00_ ;_-[$$-409]* \-#,##0.00\ ;_-[$$-409]* &quot;-&quot;??_ ;_-@_ "/>
      <fill>
        <patternFill patternType="none">
          <bgColor auto="1"/>
        </patternFill>
      </fill>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numFmt numFmtId="169" formatCode="_-[$$-409]* #,##0.00_ ;_-[$$-409]* \-#,##0.00\ ;_-[$$-409]* &quot;-&quot;??_ ;_-@_ "/>
      <fill>
        <patternFill patternType="none">
          <bgColor auto="1"/>
        </patternFill>
      </fill>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numFmt numFmtId="169" formatCode="_-[$$-409]* #,##0.00_ ;_-[$$-409]* \-#,##0.00\ ;_-[$$-409]* &quot;-&quot;??_ ;_-@_ "/>
      <fill>
        <patternFill patternType="none">
          <bgColor auto="1"/>
        </patternFill>
      </fill>
      <border diagonalUp="0" diagonalDown="0" outline="0">
        <left/>
        <right/>
        <top style="thin">
          <color theme="4" tint="0.39997558519241921"/>
        </top>
        <bottom style="thin">
          <color theme="4" tint="0.39997558519241921"/>
        </bottom>
      </border>
    </dxf>
    <dxf>
      <font>
        <color auto="1"/>
        <name val="Calibri"/>
        <family val="2"/>
        <scheme val="none"/>
      </font>
      <numFmt numFmtId="169" formatCode="_-[$$-409]* #,##0.00_ ;_-[$$-409]* \-#,##0.00\ ;_-[$$-409]* &quot;-&quot;??_ ;_-@_ "/>
      <fill>
        <patternFill patternType="none">
          <bgColor auto="1"/>
        </patternFill>
      </fill>
    </dxf>
    <dxf>
      <font>
        <b val="0"/>
        <i val="0"/>
        <strike val="0"/>
        <condense val="0"/>
        <extend val="0"/>
        <outline val="0"/>
        <shadow val="0"/>
        <u val="none"/>
        <vertAlign val="baseline"/>
        <sz val="11"/>
        <color auto="1"/>
        <name val="Calibri"/>
        <family val="2"/>
        <scheme val="none"/>
      </font>
      <fill>
        <patternFill patternType="none">
          <bgColor auto="1"/>
        </patternFill>
      </fill>
      <alignment horizontal="center" vertical="center" textRotation="0" wrapText="0" indent="0" justifyLastLine="0" shrinkToFit="0" readingOrder="0"/>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numFmt numFmtId="169" formatCode="_-[$$-409]* #,##0.00_ ;_-[$$-409]* \-#,##0.00\ ;_-[$$-409]* &quot;-&quot;??_ ;_-@_ "/>
      <fill>
        <patternFill patternType="none">
          <bgColor auto="1"/>
        </patternFill>
      </fill>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numFmt numFmtId="169" formatCode="_-[$$-409]* #,##0.00_ ;_-[$$-409]* \-#,##0.00\ ;_-[$$-409]* &quot;-&quot;??_ ;_-@_ "/>
      <fill>
        <patternFill patternType="none">
          <bgColor auto="1"/>
        </patternFill>
      </fill>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numFmt numFmtId="169" formatCode="_-[$$-409]* #,##0.00_ ;_-[$$-409]* \-#,##0.00\ ;_-[$$-409]* &quot;-&quot;??_ ;_-@_ "/>
      <fill>
        <patternFill patternType="none">
          <fgColor rgb="FF000000"/>
          <bgColor auto="1"/>
        </patternFill>
      </fill>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fill>
        <patternFill patternType="none">
          <bgColor auto="1"/>
        </patternFill>
      </fill>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fill>
        <patternFill patternType="none">
          <bgColor auto="1"/>
        </patternFill>
      </fill>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fill>
        <patternFill patternType="none">
          <bgColor auto="1"/>
        </patternFill>
      </fill>
      <alignment horizontal="left" vertical="center" textRotation="0" wrapText="0" indent="0" justifyLastLine="0" shrinkToFit="0" readingOrder="0"/>
      <border diagonalUp="0" diagonalDown="0" outline="0">
        <left/>
        <right/>
        <top style="thin">
          <color theme="4" tint="0.39997558519241921"/>
        </top>
        <bottom style="thin">
          <color theme="4" tint="0.39997558519241921"/>
        </bottom>
      </border>
    </dxf>
    <dxf>
      <font>
        <color auto="1"/>
        <name val="Calibri"/>
        <family val="2"/>
        <scheme val="none"/>
      </font>
      <fill>
        <patternFill patternType="none">
          <bgColor auto="1"/>
        </patternFill>
      </fill>
    </dxf>
    <dxf>
      <font>
        <color auto="1"/>
        <name val="Calibri"/>
        <family val="2"/>
        <scheme val="none"/>
      </font>
      <fill>
        <patternFill patternType="none">
          <bgColor auto="1"/>
        </patternFill>
      </fill>
    </dxf>
    <dxf>
      <font>
        <color auto="1"/>
        <name val="Calibri"/>
        <family val="2"/>
        <scheme val="none"/>
      </font>
      <fill>
        <patternFill patternType="none">
          <bgColor auto="1"/>
        </patternFill>
      </fill>
    </dxf>
    <dxf>
      <font>
        <b val="0"/>
        <i val="0"/>
        <strike val="0"/>
        <condense val="0"/>
        <extend val="0"/>
        <outline val="0"/>
        <shadow val="0"/>
        <u val="none"/>
        <vertAlign val="baseline"/>
        <sz val="11"/>
        <color auto="1"/>
        <name val="Calibri"/>
        <family val="2"/>
        <scheme val="none"/>
      </font>
      <fill>
        <patternFill patternType="none">
          <bgColor auto="1"/>
        </patternFill>
      </fill>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fill>
        <patternFill patternType="none">
          <bgColor auto="1"/>
        </patternFill>
      </fill>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fill>
        <patternFill patternType="none">
          <bgColor auto="1"/>
        </patternFill>
      </fill>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fill>
        <patternFill patternType="none">
          <bgColor auto="1"/>
        </patternFill>
      </fill>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none"/>
      </font>
      <fill>
        <patternFill patternType="none">
          <bgColor auto="1"/>
        </patternFill>
      </fill>
      <border diagonalUp="0" diagonalDown="0" outline="0">
        <left/>
        <right/>
        <top style="thin">
          <color theme="4" tint="0.39997558519241921"/>
        </top>
        <bottom style="thin">
          <color theme="4" tint="0.39997558519241921"/>
        </bottom>
      </border>
    </dxf>
    <dxf>
      <border outline="0">
        <left style="thin">
          <color theme="4" tint="0.39997558519241921"/>
        </left>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family val="2"/>
        <scheme val="none"/>
      </font>
      <numFmt numFmtId="0" formatCode="General"/>
      <fill>
        <patternFill patternType="solid">
          <fgColor theme="4"/>
          <bgColor theme="4"/>
        </patternFill>
      </fill>
      <alignment horizontal="general" vertical="bottom" textRotation="0" wrapText="0"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0" formatCode="General"/>
      <border diagonalUp="0" diagonalDown="0">
        <left style="thin">
          <color indexed="64"/>
        </left>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font>
        <color auto="1"/>
        <name val="Calibri"/>
        <family val="2"/>
        <scheme val="none"/>
      </font>
      <fill>
        <patternFill patternType="solid">
          <fgColor rgb="FFC0E6F5"/>
          <bgColor rgb="FFC0E6F5"/>
        </patternFill>
      </fill>
      <alignment horizontal="left" vertical="center" textRotation="0" wrapText="0" indent="0" justifyLastLine="0" shrinkToFit="0" readingOrder="0"/>
      <border diagonalUp="0" diagonalDown="0">
        <left/>
        <right/>
        <top style="thin">
          <color theme="1"/>
        </top>
        <bottom/>
        <vertical/>
        <horizontal/>
      </border>
    </dxf>
    <dxf>
      <border outline="0">
        <top style="thin">
          <color indexed="64"/>
        </top>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0"/>
        <name val="Calibri"/>
        <family val="2"/>
        <scheme val="none"/>
      </font>
      <fill>
        <patternFill patternType="solid">
          <fgColor indexed="64"/>
          <bgColor theme="2" tint="-0.749992370372631"/>
        </patternFill>
      </fill>
      <border diagonalUp="0" diagonalDown="0" outline="0">
        <left style="thin">
          <color indexed="64"/>
        </left>
        <right style="thin">
          <color indexed="64"/>
        </right>
        <top/>
        <bottom/>
      </border>
    </dxf>
    <dxf>
      <fill>
        <patternFill>
          <bgColor rgb="FFFFC7CE"/>
        </patternFill>
      </fill>
    </dxf>
    <dxf>
      <font>
        <color theme="0" tint="-0.14996795556505021"/>
      </font>
      <fill>
        <patternFill>
          <bgColor theme="0" tint="-0.14996795556505021"/>
        </patternFill>
      </fill>
    </dxf>
    <dxf>
      <font>
        <color theme="0" tint="-0.34998626667073579"/>
      </font>
    </dxf>
    <dxf>
      <font>
        <u val="none"/>
        <color theme="0" tint="-0.34998626667073579"/>
      </font>
    </dxf>
    <dxf>
      <font>
        <b/>
        <i val="0"/>
      </font>
      <fill>
        <patternFill>
          <bgColor rgb="FFFF0000"/>
        </patternFill>
      </fill>
    </dxf>
    <dxf>
      <font>
        <color theme="1" tint="0.24994659260841701"/>
      </font>
      <fill>
        <patternFill>
          <bgColor theme="1" tint="0.24994659260841701"/>
        </patternFill>
      </fill>
    </dxf>
    <dxf>
      <font>
        <b/>
        <i/>
        <color theme="1"/>
      </font>
      <fill>
        <patternFill>
          <bgColor rgb="FFFF9B9B"/>
        </patternFill>
      </fill>
    </dxf>
    <dxf>
      <font>
        <color theme="1" tint="0.24994659260841701"/>
      </font>
      <fill>
        <patternFill>
          <bgColor theme="1" tint="0.24994659260841701"/>
        </patternFill>
      </fill>
    </dxf>
    <dxf>
      <fill>
        <patternFill>
          <bgColor rgb="FFFFABAB"/>
        </patternFill>
      </fill>
    </dxf>
    <dxf>
      <font>
        <color theme="0" tint="-0.499984740745262"/>
      </font>
    </dxf>
    <dxf>
      <font>
        <color theme="0" tint="-0.34998626667073579"/>
      </font>
    </dxf>
    <dxf>
      <fill>
        <patternFill>
          <bgColor theme="9" tint="0.79998168889431442"/>
        </patternFill>
      </fill>
    </dxf>
    <dxf>
      <font>
        <color theme="0" tint="-0.499984740745262"/>
      </font>
    </dxf>
    <dxf>
      <font>
        <color theme="0" tint="-0.34998626667073579"/>
      </font>
    </dxf>
    <dxf>
      <font>
        <color theme="0" tint="-0.34998626667073579"/>
      </font>
    </dxf>
    <dxf>
      <font>
        <u val="none"/>
        <color theme="0" tint="-0.34998626667073579"/>
      </font>
    </dxf>
    <dxf>
      <fill>
        <patternFill>
          <bgColor theme="9" tint="0.79998168889431442"/>
        </patternFill>
      </fill>
    </dxf>
    <dxf>
      <font>
        <color theme="0"/>
      </font>
    </dxf>
    <dxf>
      <font>
        <color theme="0"/>
      </font>
    </dxf>
  </dxfs>
  <tableStyles count="0" defaultTableStyle="TableStyleMedium2" defaultPivotStyle="PivotStyleLight16"/>
  <colors>
    <mruColors>
      <color rgb="FF774EA4"/>
      <color rgb="FFF5EBFF"/>
      <color rgb="FFFFF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1.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ocumenttasks/documenttask1.xml><?xml version="1.0" encoding="utf-8"?>
<Tasks xmlns="http://schemas.microsoft.com/office/tasks/2019/documenttasks">
  <Task id="{03E85544-04C1-4A4C-98B8-7C58436C3D31}">
    <Anchor>
      <Comment id="{9DF97B49-1B95-4460-9384-362CD0C516AC}"/>
    </Anchor>
    <History>
      <Event time="2026-06-22T20:05:47.95" id="{71C0AC8B-4F46-44BF-8602-700F23401774}">
        <Attribution userId="S::jessica.rasmussen@envu.com::11e6e20f-6954-4c8d-9ce6-ad665bb33b8e" userName="Jessica Rasmussen" userProvider="AD"/>
        <Anchor>
          <Comment id="{4D63AD6A-6D56-4DE5-8BBE-8D0771A2F317}"/>
        </Anchor>
        <Create/>
      </Event>
      <Event time="2026-06-22T20:05:47.95" id="{48C19942-0B4F-45DD-ADCC-902A37BFC26F}">
        <Attribution userId="S::jessica.rasmussen@envu.com::11e6e20f-6954-4c8d-9ce6-ad665bb33b8e" userName="Jessica Rasmussen" userProvider="AD"/>
        <Anchor>
          <Comment id="{4D63AD6A-6D56-4DE5-8BBE-8D0771A2F317}"/>
        </Anchor>
        <Assign userId="S::james.nolfo@envu.com::15e5d793-96aa-48cd-9dc9-fa015080dff0" userName="J. Nolfo" userProvider="AD"/>
      </Event>
      <Event time="2026-06-22T20:05:47.95" id="{FEE9B56D-F0B7-4E79-9514-21F45A484171}">
        <Attribution userId="S::jessica.rasmussen@envu.com::11e6e20f-6954-4c8d-9ce6-ad665bb33b8e" userName="Jessica Rasmussen" userProvider="AD"/>
        <Anchor>
          <Comment id="{4D63AD6A-6D56-4DE5-8BBE-8D0771A2F317}"/>
        </Anchor>
        <SetTitle title="@J. Nolfo should this be removed from the Golf Fall Solutions Flyer"/>
      </Event>
      <Event time="2026-06-23T00:44:41.12" id="{79BA3484-3C64-455F-BF5C-73B2C6887A59}">
        <Attribution userId="S::james.nolfo@envu.com::15e5d793-96aa-48cd-9dc9-fa015080dff0" userName="J. Nolfo" userProvider="AD"/>
        <Progress percentComplete="100"/>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3391780</xdr:colOff>
      <xdr:row>0</xdr:row>
      <xdr:rowOff>0</xdr:rowOff>
    </xdr:from>
    <xdr:to>
      <xdr:col>4</xdr:col>
      <xdr:colOff>8838</xdr:colOff>
      <xdr:row>1</xdr:row>
      <xdr:rowOff>0</xdr:rowOff>
    </xdr:to>
    <xdr:pic>
      <xdr:nvPicPr>
        <xdr:cNvPr id="3" name="Picture 2">
          <a:extLst>
            <a:ext uri="{FF2B5EF4-FFF2-40B4-BE49-F238E27FC236}">
              <a16:creationId xmlns:a16="http://schemas.microsoft.com/office/drawing/2014/main" id="{C6D5B290-79C7-F6E5-6437-BF16B39FBD0B}"/>
            </a:ext>
          </a:extLst>
        </xdr:cNvPr>
        <xdr:cNvPicPr>
          <a:picLocks noChangeAspect="1"/>
        </xdr:cNvPicPr>
      </xdr:nvPicPr>
      <xdr:blipFill>
        <a:blip xmlns:r="http://schemas.openxmlformats.org/officeDocument/2006/relationships" r:embed="rId1"/>
        <a:stretch>
          <a:fillRect/>
        </a:stretch>
      </xdr:blipFill>
      <xdr:spPr>
        <a:xfrm>
          <a:off x="5218339" y="0"/>
          <a:ext cx="1514029" cy="6387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50754</xdr:colOff>
      <xdr:row>1</xdr:row>
      <xdr:rowOff>177155</xdr:rowOff>
    </xdr:from>
    <xdr:to>
      <xdr:col>15</xdr:col>
      <xdr:colOff>309401</xdr:colOff>
      <xdr:row>4</xdr:row>
      <xdr:rowOff>5705</xdr:rowOff>
    </xdr:to>
    <xdr:sp macro="[0]!Sheet2.ExportPDFButton" textlink="">
      <xdr:nvSpPr>
        <xdr:cNvPr id="3" name="Rectangle: Rounded Corners 2">
          <a:extLst>
            <a:ext uri="{FF2B5EF4-FFF2-40B4-BE49-F238E27FC236}">
              <a16:creationId xmlns:a16="http://schemas.microsoft.com/office/drawing/2014/main" id="{A729365C-3A54-4ECF-8CB3-DD0EC49BF518}"/>
            </a:ext>
          </a:extLst>
        </xdr:cNvPr>
        <xdr:cNvSpPr/>
      </xdr:nvSpPr>
      <xdr:spPr>
        <a:xfrm>
          <a:off x="10442529" y="358130"/>
          <a:ext cx="1477847" cy="457200"/>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t>EXPORT</a:t>
          </a:r>
          <a:r>
            <a:rPr lang="en-US" sz="1200" b="1" baseline="0"/>
            <a:t> PDF</a:t>
          </a:r>
          <a:endParaRPr lang="en-US" sz="1200" b="1"/>
        </a:p>
      </xdr:txBody>
    </xdr:sp>
    <xdr:clientData/>
  </xdr:twoCellAnchor>
  <xdr:twoCellAnchor editAs="oneCell">
    <xdr:from>
      <xdr:col>9</xdr:col>
      <xdr:colOff>488289</xdr:colOff>
      <xdr:row>2</xdr:row>
      <xdr:rowOff>132423</xdr:rowOff>
    </xdr:from>
    <xdr:to>
      <xdr:col>10</xdr:col>
      <xdr:colOff>878706</xdr:colOff>
      <xdr:row>4</xdr:row>
      <xdr:rowOff>133986</xdr:rowOff>
    </xdr:to>
    <xdr:pic>
      <xdr:nvPicPr>
        <xdr:cNvPr id="4" name="Picture 3">
          <a:extLst>
            <a:ext uri="{FF2B5EF4-FFF2-40B4-BE49-F238E27FC236}">
              <a16:creationId xmlns:a16="http://schemas.microsoft.com/office/drawing/2014/main" id="{102CA81E-1571-2FF1-FCB6-620CF38EB00A}"/>
            </a:ext>
          </a:extLst>
        </xdr:cNvPr>
        <xdr:cNvPicPr>
          <a:picLocks noChangeAspect="1"/>
        </xdr:cNvPicPr>
      </xdr:nvPicPr>
      <xdr:blipFill>
        <a:blip xmlns:r="http://schemas.openxmlformats.org/officeDocument/2006/relationships" r:embed="rId1"/>
        <a:stretch>
          <a:fillRect/>
        </a:stretch>
      </xdr:blipFill>
      <xdr:spPr>
        <a:xfrm>
          <a:off x="7013927" y="578274"/>
          <a:ext cx="1616508" cy="3663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J. Nolfo" id="{74D667F5-8A10-4D04-B741-2C6CC356EA02}" userId="J. Nolfo" providerId="None"/>
  <person displayName="J. Nolfo" id="{C9197DE8-7E5B-4949-BFB6-BC1F4064821B}" userId="james.nolfo@envu.com" providerId="PeoplePicker"/>
  <person displayName="Chad Noyes" id="{3462A588-089D-4705-8497-B3FDEBB64CB6}" userId="S::chad.noyes@envu.com::a5196a81-30e4-438b-b368-dffccbe8f8d7" providerId="AD"/>
  <person displayName="TJ Ashachik" id="{881F6DE6-351E-4D23-B781-198709131429}" userId="S::tj.ashachik@envu.com::98d78ef9-ecaf-4a9a-a593-86865d594fe9" providerId="AD"/>
  <person displayName="Kyle Richards" id="{B221F956-FE7F-4AEF-84F0-499FD3785128}" userId="S::kyle.richards@envu.com::4f82700e-7525-49ff-8b49-c9a3ebbe7a5d" providerId="AD"/>
  <person displayName="Jessica Rasmussen" id="{50319BD8-4D49-45F8-8035-84AFAE394811}" userId="S::jessica.rasmussen@envu.com::11e6e20f-6954-4c8d-9ce6-ad665bb33b8e"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DD0BA40-C003-4C51-B371-32E5A8135271}" name="Rebate_Lookup" displayName="Rebate_Lookup" ref="A1:Q52" totalsRowShown="0" headerRowDxfId="105" headerRowBorderDxfId="104" tableBorderDxfId="103" totalsRowBorderDxfId="102">
  <autoFilter ref="A1:Q52" xr:uid="{8DD0BA40-C003-4C51-B371-32E5A8135271}"/>
  <sortState xmlns:xlrd2="http://schemas.microsoft.com/office/spreadsheetml/2017/richdata2" ref="A2:Q7">
    <sortCondition ref="C1:C7"/>
  </sortState>
  <tableColumns count="17">
    <tableColumn id="1" xr3:uid="{D398673B-0662-44F8-8D78-99328DB3B95F}" name="SKU CODE" dataDxfId="101"/>
    <tableColumn id="2" xr3:uid="{8D4D0BBC-7197-44B6-B0A9-0ADA47BA0712}" name="Agency/TT" dataDxfId="100">
      <calculatedColumnFormula>INDEX(PRICING[Agency/TT],MATCH(Rebate_Lookup[[#This Row],[SKU CODE]],PRICING[SKU],0))</calculatedColumnFormula>
    </tableColumn>
    <tableColumn id="3" xr3:uid="{3AFF1E7F-7477-4AAB-B97F-1128804B6371}" name="Description" dataDxfId="99">
      <calculatedColumnFormula>INDEX(PRICING[Product],MATCH(Rebate_Lookup[[#This Row],[SKU CODE]],PRICING[SKU],0))</calculatedColumnFormula>
    </tableColumn>
    <tableColumn id="4" xr3:uid="{99B44781-FB82-4C8A-8F90-C186FD374A87}" name="Size" dataDxfId="98">
      <calculatedColumnFormula>INDEX(PRICING[Size],MATCH(Rebate_Lookup[[#This Row],[SKU CODE]],PRICING[SKU],0))</calculatedColumnFormula>
    </tableColumn>
    <tableColumn id="5" xr3:uid="{860537EA-E375-4424-B8EA-D22E6322FC21}" name="Instances" dataDxfId="97">
      <calculatedColumnFormula array="1">SUM(COUNTIFS(
    PRICING[Program],{"EOP/ORN","ORN","EOP","NOW","LL/NOW","LL/SLP/NOW","LL/SLP/EOP"},
    PRICING[SKU],A2
))</calculatedColumnFormula>
    </tableColumn>
    <tableColumn id="6" xr3:uid="{710FA39C-82B2-4C12-AB4A-D50437303F94}" name="MOQ_1" dataDxfId="96">
      <calculatedColumnFormula array="1">IFERROR(
MIN(
_xlfn._xlws.FILTER(
--_xlfn.TEXTBEFORE(
SUBSTITUTE(
SUBSTITUTE(PRICING[Min Qty],"+"," "),
"-"," "
),
" "
),
(PRICING[SKU]=$A2)*
(PRICING[Set]=1)*
(PRICING[Rebate $]&lt;&gt;0)*
(PRICING[Rebate $]&lt;&gt;"")
)
),
0
)</calculatedColumnFormula>
    </tableColumn>
    <tableColumn id="7" xr3:uid="{A1073A25-A7DA-43E5-9A00-A7C4CEF15B9A}" name="MOQ_2" dataDxfId="95">
      <calculatedColumnFormula array="1">IFERROR(
MIN(
_xlfn._xlws.FILTER(
--_xlfn.TEXTBEFORE(
SUBSTITUTE(
SUBSTITUTE(PRICING[Min Qty],"+"," "),
"-"," "
),
" "
),
(PRICING[SKU]=$A2)*
(PRICING[Set]=2)*
(PRICING[Rebate $]&lt;&gt;0)*
(PRICING[Rebate $]&lt;&gt;"")
)
),
0
)</calculatedColumnFormula>
    </tableColumn>
    <tableColumn id="8" xr3:uid="{91432DF9-A055-476D-A2FB-DBEC84A77BCE}" name="MOQ_3" dataDxfId="94">
      <calculatedColumnFormula array="1">IFERROR(
MIN(
_xlfn._xlws.FILTER(
--_xlfn.TEXTBEFORE(
SUBSTITUTE(
SUBSTITUTE(PRICING[Min Qty],"+"," "),
"-"," "
),
" "
),
(PRICING[SKU]=$A2)*
(PRICING[Set]=3)*
(PRICING[Rebate $]&lt;&gt;0)*
(PRICING[Rebate $]&lt;&gt;"")
)
),
0
)</calculatedColumnFormula>
    </tableColumn>
    <tableColumn id="16" xr3:uid="{BD930D3E-F4E6-43DA-8EDB-AB8851417B76}" name="MOQ_4" dataDxfId="93">
      <calculatedColumnFormula array="1">IFERROR(
MIN(
_xlfn._xlws.FILTER(
--_xlfn.TEXTBEFORE(
SUBSTITUTE(
SUBSTITUTE(PRICING[Min Qty],"+"," "),
"-"," "
),
" "
),
(PRICING[SKU]=$A2)*
(PRICING[Set]=4)*
(PRICING[Rebate $]&lt;&gt;0)*
(PRICING[Rebate $]&lt;&gt;"")
)
),
0
)</calculatedColumnFormula>
    </tableColumn>
    <tableColumn id="9" xr3:uid="{DDBB5C97-01AA-4400-96C4-971E645F0CD9}" name="REB_MOQ_1" dataDxfId="92">
      <calculatedColumnFormula array="1">SUM(
    SUMIFS(
        PRICING[Rebate $],
        PRICING[Program],
        {"EOP/ORN","ORN","EOP","NOW","LL/NOW","LL/SLP/NOW","LL/SLP/EOP"},
        PRICING[SKU],
        Rebate_Lookup[[#This Row],[SKU CODE]],
        PRICING[Set],
        1
    )
)</calculatedColumnFormula>
    </tableColumn>
    <tableColumn id="10" xr3:uid="{8BC226D3-0A47-471A-AC12-E53BEDB11F49}" name="REB_MOQ_2" dataDxfId="91">
      <calculatedColumnFormula array="1">SUM(
    SUMIFS(
        PRICING[Rebate $],
        PRICING[Program],
        {"EOP/ORN","ORN","EOP","NOW","LL/NOW","LL/SLP/NOW","LL/SLP/EOP"},
        PRICING[SKU],
        Rebate_Lookup[[#This Row],[SKU CODE]],
        PRICING[Set],
        2
    )
)</calculatedColumnFormula>
    </tableColumn>
    <tableColumn id="11" xr3:uid="{17B14B9A-5C4F-48A7-A3A1-07401CAC9D7A}" name="REB_MOQ_3" dataDxfId="90">
      <calculatedColumnFormula array="1">SUM(
    SUMIFS(
        PRICING[Rebate $],
        PRICING[Program],
        {"EOP/ORN","ORN","EOP","NOW","LL/NOW","LL/SLP/NOW","LL/SLP/EOP"},
        PRICING[SKU],
        Rebate_Lookup[[#This Row],[SKU CODE]],
        PRICING[Set],
        3
    )
)</calculatedColumnFormula>
    </tableColumn>
    <tableColumn id="17" xr3:uid="{710847E3-6EC6-43DC-98D0-474D0636866B}" name="REB_MOQ_4" dataDxfId="89">
      <calculatedColumnFormula array="1">SUM(
    SUMIFS(
        PRICING[Rebate $],
        PRICING[Program],
        {"EOP/ORN","ORN","EOP","NOW","LL/NOW","LL/SLP/NOW","LL/SLP/EOP"},
        PRICING[SKU],
        Rebate_Lookup[[#This Row],[SKU CODE]],
        PRICING[Set],
        4
    )
)</calculatedColumnFormula>
    </tableColumn>
    <tableColumn id="12" xr3:uid="{B7772016-8192-4A8E-9478-9EDF4602EE52}" name="Order Form Quantity" dataDxfId="88">
      <calculatedColumnFormula>INDEX(Estimates!H:H,MATCH(Rebate_Lookup[[#This Row],[SKU CODE]],Estimates!A:A,0))</calculatedColumnFormula>
    </tableColumn>
    <tableColumn id="13" xr3:uid="{84939568-F3D0-4F2D-85F0-B480B22660D2}" name="Qualified Rebate Tier" dataDxfId="87">
      <calculatedColumnFormula>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calculatedColumnFormula>
    </tableColumn>
    <tableColumn id="14" xr3:uid="{2616D50E-B710-44A2-966D-F2769011555F}" name="Column1" dataDxfId="86">
      <calculatedColumnFormula>COUNTIF(Estimates!A:A,Rebate_Lookup[[#This Row],[SKU CODE]])</calculatedColumnFormula>
    </tableColumn>
    <tableColumn id="15" xr3:uid="{47A19105-FA18-4B1B-A7FA-1EA8531AA122}" name="Volume Buy Counter" dataDxfId="85">
      <calculatedColumnFormula>IFERROR(Rebate_Lookup[[#This Row],[Order Form Quantity]]&gt;=Rebate_Lookup[[#This Row],[MOQ_2]],0)</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C98199B-9337-44B5-9BF2-46445AB8BD93}" name="PRICING" displayName="PRICING" ref="A1:AF68" totalsRowShown="0" headerRowDxfId="34" headerRowBorderDxfId="33" tableBorderDxfId="32" headerRowCellStyle="Normal 3">
  <autoFilter ref="A1:AF68" xr:uid="{EC98199B-9337-44B5-9BF2-46445AB8BD93}">
    <filterColumn colId="9">
      <filters>
        <filter val="Durentis® Insecticide"/>
      </filters>
    </filterColumn>
  </autoFilter>
  <tableColumns count="32">
    <tableColumn id="1" xr3:uid="{E888E169-64C9-499F-9B95-C7DBCDC15101}" name="Manufacturer" dataDxfId="31"/>
    <tableColumn id="2" xr3:uid="{3AE1413B-FC9C-4569-A93D-1696E870ACD9}" name="Agency/TT" dataDxfId="30"/>
    <tableColumn id="3" xr3:uid="{BA669AA0-5E99-4659-B7A8-152E92304C25}" name="Segment" dataDxfId="29"/>
    <tableColumn id="4" xr3:uid="{954D877E-51CB-4525-B7F0-37A9634FB548}" name="Region" dataDxfId="28"/>
    <tableColumn id="5" xr3:uid="{DE373666-E95D-495E-A758-577AAC9EE70B}" name="Indication" dataDxfId="27"/>
    <tableColumn id="7" xr3:uid="{7D84110D-414C-4886-8237-F041345335BE}" name="Program" dataDxfId="26"/>
    <tableColumn id="8" xr3:uid="{B63BDD5B-E575-41A7-88A3-1A3B842CBDA4}" name="Old Bayer SKU " dataDxfId="25"/>
    <tableColumn id="9" xr3:uid="{F2241356-AE77-4D7E-A4C8-863918709A24}" name="Old Envu SKU" dataDxfId="24"/>
    <tableColumn id="10" xr3:uid="{0B4237DC-D31A-4554-B604-ABDFA9EA2C67}" name="SKU" dataDxfId="23"/>
    <tableColumn id="11" xr3:uid="{C8F378E0-0A57-4A72-B15F-AEB5B63BCDD4}" name="Product" dataDxfId="22"/>
    <tableColumn id="12" xr3:uid="{42BE339B-343B-4C91-A8EB-8C1BBAC170F9}" name="Size" dataDxfId="21"/>
    <tableColumn id="13" xr3:uid="{96A261D7-7834-42FE-91CB-D5E8C477B324}" name="2026 In-Season Price" dataDxfId="20"/>
    <tableColumn id="14" xr3:uid="{1880B8F7-98C5-417B-B844-E5F0D5A5237D}" name="NOW Price" dataDxfId="19"/>
    <tableColumn id="15" xr3:uid="{C0C3D372-52B1-4F5E-B92A-93889C9C2C83}" name="In SZN-NOW delta" dataDxfId="18">
      <calculatedColumnFormula>L2-M2</calculatedColumnFormula>
    </tableColumn>
    <tableColumn id="16" xr3:uid="{3D16BF20-27B5-4D6C-9D13-1EF46C076B75}" name="Min Qty" dataDxfId="17"/>
    <tableColumn id="17" xr3:uid="{E36061CB-E90E-4442-A63E-E786D09C9ADE}" name="Rebate $" dataDxfId="16"/>
    <tableColumn id="18" xr3:uid="{EA876EE9-3559-4B4E-934B-EE9CEB85965F}" name="Final Price" dataDxfId="15">
      <calculatedColumnFormula>M2-P2</calculatedColumnFormula>
    </tableColumn>
    <tableColumn id="19" xr3:uid="{63CEBA03-F238-4786-9C21-E41CAFBBF7DE}" name="CA In-season Price" dataDxfId="14"/>
    <tableColumn id="20" xr3:uid="{5E00DD23-362B-489D-B509-44B7D2BCF6A4}" name="CA NOW Price" dataDxfId="13"/>
    <tableColumn id="21" xr3:uid="{4C52FC3D-7A30-4744-8DED-08273B7DACB4}" name="CA Final Price" dataDxfId="12" dataCellStyle="Currency 2"/>
    <tableColumn id="22" xr3:uid="{F174D4F0-32DC-4F0A-AEC1-B9E0A69145B2}" name="WA In-season Price" dataDxfId="11"/>
    <tableColumn id="23" xr3:uid="{31455E9C-1D59-47D2-A8C3-F779C26287C6}" name="WA NOW Price" dataDxfId="10"/>
    <tableColumn id="24" xr3:uid="{6E17ACC9-B537-4681-9174-4AFEFF92BF64}" name="WA Final Price" dataDxfId="9" dataCellStyle="Currency 2"/>
    <tableColumn id="25" xr3:uid="{2AB5954D-1893-42E3-B9D6-C49E3CC865D7}" name="Package Ounces" dataDxfId="8"/>
    <tableColumn id="26" xr3:uid="{DF63D30E-FB15-43B4-8C25-CC796AD8A1FB}" name="Standard Use Rate (oz/M)" dataDxfId="7"/>
    <tableColumn id="27" xr3:uid="{470D1A9D-89F2-4981-8DBC-4A6189C31205}" name="Standard Use Rate (oz/Acre)" dataDxfId="6"/>
    <tableColumn id="28" xr3:uid="{B8704687-472C-45AE-A88F-377E2F48CCCF}" name="Price/1000 sq ft" dataDxfId="5" dataCellStyle="Currency 2"/>
    <tableColumn id="29" xr3:uid="{C4A669B5-C709-4665-9027-7E479148B9A1}" name="Price/Acre" dataDxfId="4" dataCellStyle="Currency 2"/>
    <tableColumn id="30" xr3:uid="{D970DA03-5C34-444B-A259-7D2DFA2EBDF1}" name="Total %" dataDxfId="3"/>
    <tableColumn id="31" xr3:uid="{5228F452-C166-4413-BC25-6A0017726E26}" name="*cumlative" dataDxfId="2"/>
    <tableColumn id="32" xr3:uid="{F7FAB156-7838-45DF-B6CD-1198D84F854D}" name="Set" dataDxfId="1"/>
    <tableColumn id="35" xr3:uid="{FF10DA56-3479-4CEC-B9B8-193DB022B7B9}" name="October Bonus"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J13" dT="2025-06-27T22:10:39.98" personId="{3462A588-089D-4705-8497-B3FDEBB64CB6}" id="{9DF97B49-1B95-4460-9384-362CD0C516AC}" done="1">
    <text>Labeled in AZ/CA only</text>
  </threadedComment>
  <threadedComment ref="J13" dT="2026-06-22T20:05:47.95" personId="{50319BD8-4D49-45F8-8035-84AFAE394811}" id="{4D63AD6A-6D56-4DE5-8BBE-8D0771A2F317}" parentId="{9DF97B49-1B95-4460-9384-362CD0C516AC}">
    <text>@J. Nolfo  should this be removed from the Golf Fall Solutions Flyer</text>
    <mentions>
      <mention mentionpersonId="{C9197DE8-7E5B-4949-BFB6-BC1F4064821B}" mentionId="{FADAADF7-9F13-4752-B881-F6B047BB7717}" startIndex="0" length="9"/>
    </mentions>
  </threadedComment>
  <threadedComment ref="J13" dT="2026-06-23T00:44:38.59" personId="{74D667F5-8A10-4D04-B741-2C6CC356EA02}" id="{AF0B7D5B-7E31-484D-BA25-6B1EE8C4A602}" parentId="{9DF97B49-1B95-4460-9384-362CD0C516AC}">
    <text>Include in Golf Fall.</text>
  </threadedComment>
  <threadedComment ref="J20" dT="2025-07-03T11:37:44.48" personId="{3462A588-089D-4705-8497-B3FDEBB64CB6}" id="{0BFAB4D7-24EE-437C-A613-134B582CB6E4}">
    <text>Sales count towards purchase tier, but will not be rebated</text>
  </threadedComment>
  <threadedComment ref="J21" dT="2025-07-03T11:37:30.04" personId="{3462A588-089D-4705-8497-B3FDEBB64CB6}" id="{3DE48FC3-D132-47DA-8DE7-B5268714C8CC}">
    <text>Sales count towards purchase tier, but not rebated</text>
  </threadedComment>
  <threadedComment ref="O41" dT="2026-04-29T17:07:26.78" personId="{B221F956-FE7F-4AEF-84F0-499FD3785128}" id="{0BBB341E-4E18-48C1-B7C2-8E2CFC3B718C}">
    <text xml:space="preserve">Need to add line for volume buy (8+) - could do $25/30 per bt. for volume buy; </text>
  </threadedComment>
  <threadedComment ref="O42" dT="2026-04-29T17:07:26.78" personId="{B221F956-FE7F-4AEF-84F0-499FD3785128}" id="{A1E4E6D3-6135-46F7-B4FE-C982EA70C493}">
    <text xml:space="preserve">Need to add line for volume buy (8+) - could do $25/30 per bt. for volume buy; </text>
  </threadedComment>
  <threadedComment ref="P61" dT="2026-04-29T17:52:16.24" personId="{B221F956-FE7F-4AEF-84F0-499FD3785128}" id="{D6D96CC6-F5FF-46F0-AC3A-1B598E2A2288}">
    <text>Suggestion based on inventory situation, and new market entry -- incurred significant price increase to begin year.</text>
  </threadedComment>
  <threadedComment ref="P61" dT="2026-07-13T13:38:51.07" personId="{74D667F5-8A10-4D04-B741-2C6CC356EA02}" id="{328CF702-117D-4955-BAD1-6D62D8C69541}" parentId="{D6D96CC6-F5FF-46F0-AC3A-1B598E2A2288}">
    <text>Changed on 7/13 per emails</text>
  </threadedComment>
  <threadedComment ref="P67" dT="2026-05-01T16:11:39.81" personId="{881F6DE6-351E-4D23-B781-198709131429}" id="{8DC8E9EC-E211-4E62-B45E-728E642726FA}">
    <text>Based on everything we have learned since aquiring this asset, it is miss priced in the market.  I think we need a dramatic list price adjustment</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2.xml"/><Relationship Id="rId1" Type="http://schemas.openxmlformats.org/officeDocument/2006/relationships/vmlDrawing" Target="../drawings/vmlDrawing1.vml"/><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77A1F-22F4-4D71-AA77-B24CB86BBF85}">
  <sheetPr codeName="Sheet1"/>
  <dimension ref="A1:BH91"/>
  <sheetViews>
    <sheetView tabSelected="1" topLeftCell="C80" zoomScale="87" zoomScaleNormal="85" workbookViewId="0">
      <selection activeCell="I68" sqref="I68"/>
    </sheetView>
  </sheetViews>
  <sheetFormatPr baseColWidth="10" defaultColWidth="9.1640625" defaultRowHeight="14" x14ac:dyDescent="0.2"/>
  <cols>
    <col min="1" max="1" width="12.83203125" style="10" hidden="1" customWidth="1"/>
    <col min="2" max="2" width="9.5" style="10" hidden="1" customWidth="1"/>
    <col min="3" max="3" width="5.1640625" style="10" customWidth="1"/>
    <col min="4" max="4" width="70.1640625" style="10" bestFit="1" customWidth="1"/>
    <col min="5" max="5" width="28.1640625" style="10" bestFit="1" customWidth="1"/>
    <col min="6" max="6" width="10.1640625" style="10" bestFit="1" customWidth="1"/>
    <col min="7" max="7" width="11.6640625" style="10" bestFit="1" customWidth="1"/>
    <col min="8" max="8" width="20.5" style="62" customWidth="1"/>
    <col min="9" max="9" width="16.5" style="17" bestFit="1" customWidth="1"/>
    <col min="10" max="10" width="54.5" style="17" hidden="1" customWidth="1"/>
    <col min="11" max="11" width="9.1640625" style="17" bestFit="1" customWidth="1"/>
    <col min="12" max="12" width="19.5" style="17" bestFit="1" customWidth="1"/>
    <col min="13" max="13" width="25.6640625" style="17" hidden="1" customWidth="1"/>
    <col min="14" max="14" width="25.1640625" style="17" hidden="1" customWidth="1"/>
    <col min="15" max="15" width="28.1640625" style="17" hidden="1" customWidth="1"/>
    <col min="16" max="16" width="18.5" style="17" bestFit="1" customWidth="1"/>
    <col min="17" max="17" width="30.1640625" style="17" bestFit="1" customWidth="1"/>
    <col min="18" max="18" width="18.5" style="17" bestFit="1" customWidth="1"/>
    <col min="19" max="19" width="22.1640625" style="17" bestFit="1" customWidth="1"/>
    <col min="20" max="20" width="17.1640625" style="16" bestFit="1" customWidth="1"/>
    <col min="21" max="21" width="17.33203125" style="61" bestFit="1" customWidth="1"/>
    <col min="22" max="22" width="23.5" style="61" bestFit="1" customWidth="1"/>
    <col min="23" max="24" width="12.5" style="61" bestFit="1" customWidth="1"/>
    <col min="25" max="26" width="9.1640625" style="10"/>
    <col min="27" max="27" width="0" style="10" hidden="1" customWidth="1"/>
    <col min="28" max="28" width="6.1640625" style="10" hidden="1" customWidth="1"/>
    <col min="29" max="29" width="5.1640625" style="10" hidden="1" customWidth="1"/>
    <col min="30" max="30" width="5.33203125" style="10" hidden="1" customWidth="1"/>
    <col min="31" max="16384" width="9.1640625" style="10"/>
  </cols>
  <sheetData>
    <row r="1" spans="1:25" ht="50" customHeight="1" x14ac:dyDescent="0.2">
      <c r="E1" s="313" t="s">
        <v>0</v>
      </c>
      <c r="F1" s="313"/>
      <c r="G1" s="313"/>
      <c r="H1" s="313"/>
      <c r="I1" s="313"/>
      <c r="J1" s="313"/>
      <c r="K1" s="313"/>
      <c r="L1" s="313"/>
      <c r="M1" s="313"/>
      <c r="N1" s="313"/>
      <c r="O1" s="313"/>
      <c r="P1" s="313"/>
      <c r="Q1" s="313"/>
      <c r="R1" s="313"/>
      <c r="S1" s="313"/>
      <c r="T1" s="313"/>
      <c r="U1" s="313"/>
      <c r="V1" s="313"/>
      <c r="W1" s="313"/>
      <c r="X1" s="313"/>
    </row>
    <row r="2" spans="1:25" s="11" customFormat="1" ht="9.75" customHeight="1" x14ac:dyDescent="0.2">
      <c r="E2" s="12"/>
      <c r="F2" s="12"/>
      <c r="G2" s="12"/>
      <c r="H2" s="12"/>
      <c r="I2" s="12"/>
      <c r="J2" s="12"/>
      <c r="K2" s="12"/>
      <c r="L2" s="12"/>
      <c r="M2" s="12"/>
      <c r="N2" s="12"/>
      <c r="O2" s="12"/>
      <c r="P2" s="13"/>
      <c r="Q2" s="13"/>
      <c r="R2" s="13"/>
      <c r="S2" s="13"/>
      <c r="T2" s="14"/>
      <c r="U2" s="15"/>
      <c r="V2" s="15"/>
      <c r="W2" s="15"/>
      <c r="X2" s="15"/>
    </row>
    <row r="3" spans="1:25" ht="24" customHeight="1" x14ac:dyDescent="0.2">
      <c r="A3" s="16"/>
      <c r="B3" s="16"/>
      <c r="E3" s="16"/>
      <c r="H3" s="17"/>
      <c r="P3" s="18"/>
      <c r="Q3" s="18"/>
      <c r="R3" s="13"/>
      <c r="S3" s="19" t="s">
        <v>1</v>
      </c>
      <c r="T3" s="20"/>
      <c r="U3" s="20"/>
      <c r="V3" s="20"/>
      <c r="W3" s="20"/>
      <c r="X3" s="20"/>
      <c r="Y3" s="17"/>
    </row>
    <row r="4" spans="1:25" ht="21" customHeight="1" x14ac:dyDescent="0.2">
      <c r="A4" s="17"/>
      <c r="B4" s="17"/>
      <c r="D4" s="310" t="s">
        <v>2</v>
      </c>
      <c r="E4" s="311"/>
      <c r="F4" s="17"/>
      <c r="G4" s="17"/>
      <c r="H4" s="17"/>
      <c r="R4" s="21" t="s">
        <v>3</v>
      </c>
      <c r="S4" s="338" t="s">
        <v>4</v>
      </c>
      <c r="T4" s="339"/>
      <c r="U4" s="22" t="s">
        <v>5</v>
      </c>
      <c r="V4" s="22" t="s">
        <v>6</v>
      </c>
      <c r="W4" s="22" t="s">
        <v>7</v>
      </c>
      <c r="X4" s="22" t="s">
        <v>8</v>
      </c>
      <c r="Y4" s="17"/>
    </row>
    <row r="5" spans="1:25" ht="21" customHeight="1" x14ac:dyDescent="0.2">
      <c r="A5" s="17"/>
      <c r="B5" s="17"/>
      <c r="D5" s="23" t="s">
        <v>9</v>
      </c>
      <c r="E5" s="80"/>
      <c r="F5" s="17"/>
      <c r="G5" s="17"/>
      <c r="H5" s="17"/>
      <c r="R5" s="21" t="s">
        <v>10</v>
      </c>
      <c r="S5" s="340">
        <v>0.02</v>
      </c>
      <c r="T5" s="341"/>
      <c r="U5" s="24">
        <v>0.03</v>
      </c>
      <c r="V5" s="24">
        <v>0.04</v>
      </c>
      <c r="W5" s="24">
        <v>0.05</v>
      </c>
      <c r="X5" s="24">
        <v>0.06</v>
      </c>
      <c r="Y5" s="17"/>
    </row>
    <row r="6" spans="1:25" ht="21" customHeight="1" x14ac:dyDescent="0.2">
      <c r="A6" s="17"/>
      <c r="B6" s="17"/>
      <c r="D6" s="25" t="s">
        <v>11</v>
      </c>
      <c r="E6" s="81"/>
      <c r="F6" s="17"/>
      <c r="G6" s="17"/>
      <c r="H6" s="17"/>
      <c r="R6" s="13"/>
      <c r="S6" s="26" t="b">
        <f>AND($L$41+$L$69&gt;=5000,$L$41+$L$69&lt;22000)</f>
        <v>0</v>
      </c>
      <c r="T6" s="26"/>
      <c r="U6" s="26" t="b">
        <f>AND($L$41+$L$69&gt;=22000,$L$41+$L$69&lt;55000)</f>
        <v>0</v>
      </c>
      <c r="V6" s="26" t="b">
        <f>AND($L$41+$L$69&gt;=55000,$L$41+$L$69&lt;110000)</f>
        <v>0</v>
      </c>
      <c r="W6" s="26" t="b">
        <f>AND($L$41+$L$69&gt;=110000,$L$41+$L$69&lt;165000)</f>
        <v>0</v>
      </c>
      <c r="X6" s="27" t="b">
        <f>$L$41+$L$69&gt;=165000</f>
        <v>1</v>
      </c>
      <c r="Y6" s="17"/>
    </row>
    <row r="7" spans="1:25" ht="21" customHeight="1" x14ac:dyDescent="0.25">
      <c r="A7" s="17"/>
      <c r="B7" s="17"/>
      <c r="D7" s="220" t="s">
        <v>12</v>
      </c>
      <c r="E7" s="82"/>
      <c r="F7" s="17"/>
      <c r="G7" s="17"/>
      <c r="H7" s="17"/>
      <c r="P7" s="76"/>
      <c r="Q7" s="77"/>
      <c r="R7" s="314" t="s">
        <v>13</v>
      </c>
      <c r="S7" s="327" t="s">
        <v>14</v>
      </c>
      <c r="T7" s="327"/>
      <c r="U7" s="327"/>
      <c r="V7" s="327" t="s">
        <v>15</v>
      </c>
      <c r="W7" s="327"/>
      <c r="X7" s="327"/>
      <c r="Y7" s="17"/>
    </row>
    <row r="8" spans="1:25" ht="21" customHeight="1" x14ac:dyDescent="0.2">
      <c r="A8" s="17"/>
      <c r="B8" s="17"/>
      <c r="D8" s="28" t="s">
        <v>16</v>
      </c>
      <c r="E8" s="83"/>
      <c r="F8" s="17"/>
      <c r="G8" s="17"/>
      <c r="H8" s="17"/>
      <c r="R8" s="314"/>
      <c r="S8" s="327"/>
      <c r="T8" s="327"/>
      <c r="U8" s="327"/>
      <c r="V8" s="327"/>
      <c r="W8" s="327"/>
      <c r="X8" s="327"/>
      <c r="Y8" s="17"/>
    </row>
    <row r="9" spans="1:25" ht="21" customHeight="1" x14ac:dyDescent="0.2">
      <c r="A9" s="17"/>
      <c r="B9" s="17"/>
      <c r="D9" s="28" t="s">
        <v>17</v>
      </c>
      <c r="E9" s="84"/>
      <c r="F9" s="17"/>
      <c r="G9" s="17"/>
      <c r="H9" s="17"/>
      <c r="R9" s="13"/>
      <c r="S9" s="342" t="str">
        <f>IF(S11=0,"n/a",S11)</f>
        <v>n/a</v>
      </c>
      <c r="T9" s="342"/>
      <c r="U9" s="342"/>
      <c r="V9" s="342" t="str">
        <f>IF(V11=0,"n/a",V11)</f>
        <v>n/a</v>
      </c>
      <c r="W9" s="342"/>
      <c r="X9" s="342"/>
      <c r="Y9" s="17"/>
    </row>
    <row r="10" spans="1:25" ht="18" customHeight="1" x14ac:dyDescent="0.2">
      <c r="A10" s="17"/>
      <c r="B10" s="17"/>
      <c r="E10" s="17"/>
      <c r="F10" s="17"/>
      <c r="G10" s="17"/>
      <c r="H10" s="17"/>
      <c r="I10" s="10"/>
      <c r="J10" s="10"/>
      <c r="Q10" s="79" t="s">
        <v>18</v>
      </c>
      <c r="R10" s="78" t="s">
        <v>19</v>
      </c>
      <c r="S10" s="29" t="s">
        <v>20</v>
      </c>
      <c r="T10" s="30"/>
      <c r="U10" s="31"/>
      <c r="V10" s="31"/>
      <c r="W10" s="31"/>
      <c r="X10" s="31"/>
    </row>
    <row r="11" spans="1:25" ht="16" customHeight="1" thickBot="1" x14ac:dyDescent="0.25">
      <c r="A11" s="32" t="s">
        <v>21</v>
      </c>
      <c r="B11" s="32"/>
      <c r="F11" s="17"/>
      <c r="G11" s="17"/>
      <c r="H11" s="17"/>
      <c r="I11" s="10"/>
      <c r="J11" s="33" t="s">
        <v>22</v>
      </c>
      <c r="M11" s="33" t="s">
        <v>22</v>
      </c>
      <c r="N11" s="33" t="s">
        <v>22</v>
      </c>
      <c r="O11" s="33" t="s">
        <v>22</v>
      </c>
      <c r="S11" s="34" t="str">
        <f>IF(
    L41+L69&gt;5000,
    IF(
        AND(
            L41+L69&lt;55000,
            SUMIFS(H15:H40,E15:E40,"*Dismiss**NXT*") + SUMIFS(H45:H68,E45:E68,"*Dismiss**NXT*")&gt;=8
        ),
        0.01,
        IF(
            AND(
                L41+L69&gt;=55000,
                SUMIFS(H15:H40,E15:E40,"*Dismiss**NXT*") + SUMIFS(H45:H68,E45:E68,"*Dismiss**NXT*")&gt;=8
            ),
            0.02,
            "n/a"
        )
    ),
    "n/a"
)</f>
        <v>n/a</v>
      </c>
      <c r="T11" s="35"/>
      <c r="V11" s="34" t="str">
        <f>IF(
    L41+L69&gt;5000,
    IF(
        AND(
            L41+L69&lt;55000,
            SUMIFS(H15:H40,E15:E40,"*Scion*") + SUMIFS(H45:H68,E45:E68,"*Scion*")&gt;=16
        ),
        0.01,
        IF(
            AND(
                L41+L69&gt;=55000,
                SUMIFS(H15:H40,E15:E40,"*Scion*") + SUMIFS(H45:H68,E45:E68,"*Scion*")&gt;=16
            ),
            0.02,
            "n/a"
        )
    ),
    "n/a"
)</f>
        <v>n/a</v>
      </c>
      <c r="W11" s="36" t="str">
        <f>IF(
    AND(
        L41&gt;=5000,
        L41&lt;50000,
        SUMIFS(H18:H40,E18:E40,"*Resilia*")&gt;=4
    ),
    0.01,
    IF(
        AND(
            L41&gt;=50000,
            SUMIFS(H18:H40,E18:E40,"*Resilia*")&gt;=4
        ),
        0.02,
        "n/a"
    )
)</f>
        <v>n/a</v>
      </c>
      <c r="X11" s="34"/>
    </row>
    <row r="12" spans="1:25" ht="18.5" customHeight="1" thickTop="1" x14ac:dyDescent="0.2">
      <c r="A12" s="328" t="s">
        <v>23</v>
      </c>
      <c r="B12" s="330" t="s">
        <v>24</v>
      </c>
      <c r="D12" s="332" t="s">
        <v>25</v>
      </c>
      <c r="E12" s="335" t="s">
        <v>26</v>
      </c>
      <c r="F12" s="315" t="s">
        <v>27</v>
      </c>
      <c r="G12" s="315" t="s">
        <v>28</v>
      </c>
      <c r="H12" s="318" t="s">
        <v>29</v>
      </c>
      <c r="I12" s="321" t="s">
        <v>30</v>
      </c>
      <c r="J12" s="321" t="s">
        <v>31</v>
      </c>
      <c r="K12" s="324" t="s">
        <v>32</v>
      </c>
      <c r="L12" s="321" t="s">
        <v>33</v>
      </c>
      <c r="M12" s="321" t="s">
        <v>34</v>
      </c>
      <c r="N12" s="321" t="s">
        <v>35</v>
      </c>
      <c r="O12" s="321" t="s">
        <v>36</v>
      </c>
      <c r="P12" s="321" t="s">
        <v>37</v>
      </c>
      <c r="Q12" s="321" t="s">
        <v>38</v>
      </c>
      <c r="R12" s="324" t="s">
        <v>39</v>
      </c>
      <c r="S12" s="349" t="s">
        <v>40</v>
      </c>
      <c r="T12" s="352" t="s">
        <v>41</v>
      </c>
      <c r="U12" s="343" t="s">
        <v>42</v>
      </c>
      <c r="V12" s="355" t="s">
        <v>43</v>
      </c>
      <c r="W12" s="343" t="s">
        <v>44</v>
      </c>
      <c r="X12" s="346" t="s">
        <v>45</v>
      </c>
    </row>
    <row r="13" spans="1:25" ht="31.5" customHeight="1" x14ac:dyDescent="0.2">
      <c r="A13" s="329"/>
      <c r="B13" s="331"/>
      <c r="D13" s="333"/>
      <c r="E13" s="336"/>
      <c r="F13" s="316"/>
      <c r="G13" s="316"/>
      <c r="H13" s="319"/>
      <c r="I13" s="322"/>
      <c r="J13" s="322"/>
      <c r="K13" s="325"/>
      <c r="L13" s="322"/>
      <c r="M13" s="322"/>
      <c r="N13" s="322"/>
      <c r="O13" s="322"/>
      <c r="P13" s="322"/>
      <c r="Q13" s="322"/>
      <c r="R13" s="325"/>
      <c r="S13" s="350"/>
      <c r="T13" s="353"/>
      <c r="U13" s="344"/>
      <c r="V13" s="356"/>
      <c r="W13" s="344"/>
      <c r="X13" s="347"/>
    </row>
    <row r="14" spans="1:25" ht="16.5" customHeight="1" thickBot="1" x14ac:dyDescent="0.25">
      <c r="A14" s="329"/>
      <c r="B14" s="331"/>
      <c r="D14" s="334"/>
      <c r="E14" s="337"/>
      <c r="F14" s="317"/>
      <c r="G14" s="317"/>
      <c r="H14" s="320"/>
      <c r="I14" s="323"/>
      <c r="J14" s="323"/>
      <c r="K14" s="326"/>
      <c r="L14" s="323"/>
      <c r="M14" s="323"/>
      <c r="N14" s="323"/>
      <c r="O14" s="323"/>
      <c r="P14" s="323"/>
      <c r="Q14" s="323"/>
      <c r="R14" s="326"/>
      <c r="S14" s="351"/>
      <c r="T14" s="354"/>
      <c r="U14" s="345"/>
      <c r="V14" s="357"/>
      <c r="W14" s="345"/>
      <c r="X14" s="348"/>
    </row>
    <row r="15" spans="1:25" ht="18.5" customHeight="1" thickTop="1" x14ac:dyDescent="0.2">
      <c r="A15" s="253" t="s">
        <v>46</v>
      </c>
      <c r="B15" s="254" t="b">
        <f t="shared" ref="B15:B17" si="0">H15&gt;0</f>
        <v>0</v>
      </c>
      <c r="D15" s="75" t="str" cm="1">
        <f t="array" ref="D15">IFERROR(
    _xlfn.TEXTJOIN(
        "; ",
        TRUE,
        _xlfn._xlws.FILTER(
            TEXT(PRICING[Rebate $],"$#,##0.00") &amp;
            " off on " &amp;
            IF(
                (PRICING[Min Qty]="") + (PRICING[Min Qty]=0),
                "1 unit",
                PRICING[Min Qty] &amp; " units"
            ),
            (PRICING[SKU]=$A15) *
            (PRICING[Rebate $]&lt;&gt;"")
        )
    ),
    "n/a"
)</f>
        <v>$0.00 off on 1-15 units</v>
      </c>
      <c r="E15" s="44" t="str">
        <f>_xlfn.XLOOKUP(A15, PRICING[SKU], PRICING[Product], "")</f>
        <v>Altus®</v>
      </c>
      <c r="F15" s="45" t="str">
        <f>_xlfn.XLOOKUP(A15, PRICING[SKU], PRICING[Size], "")</f>
        <v>64 oz</v>
      </c>
      <c r="G15" s="37" t="str">
        <f>IF(_xlfn.XLOOKUP(A15,PRICING[SKU],PRICING[Indication])="I","Insecticide",
 IF(_xlfn.XLOOKUP(A15,PRICING[SKU],PRICING[Indication])="H","Herbicide",
 IF(_xlfn.XLOOKUP(A15,PRICING[SKU],PRICING[Indication])="F","Fungicide",
 IF(_xlfn.XLOOKUP(A15,PRICING[SKU],PRICING[Indication])="PGR","PGR",""))))</f>
        <v>Insecticide</v>
      </c>
      <c r="H15" s="46"/>
      <c r="I15" s="38">
        <f>INDEX(PRICING[2026 In-Season Price],MATCH(A15,PRICING[SKU],0))</f>
        <v>471.04</v>
      </c>
      <c r="J15" s="39" t="str">
        <f t="shared" ref="J15:J17" si="1">IF(H15*I15= 0,"",ROUND(H15*I15,2))</f>
        <v/>
      </c>
      <c r="K15" s="39">
        <f>INDEX(PRICING[NOW Price],MATCH(A15,PRICING[SKU],0))</f>
        <v>471.04</v>
      </c>
      <c r="L15" s="39" t="str">
        <f t="shared" ref="L15:L17" si="2">IF(H15*K15= 0,"",ROUND(H15*K15,2))</f>
        <v/>
      </c>
      <c r="M15" s="40">
        <f>INDEX(Rebate_Lookup[Instances],MATCH(A15,Rebate_Lookup[SKU CODE],0))</f>
        <v>1</v>
      </c>
      <c r="N15" s="40" t="str">
        <f>IF(H15="","",INDEX(Rebate_Lookup[Qualified Rebate Tier],MATCH(A15,Rebate_Lookup[SKU CODE],0)))</f>
        <v/>
      </c>
      <c r="O15" s="39" t="str">
        <f>IF(OR(H15="",N15=""),"",
IF(N15=1,INDEX(Rebate_Lookup[REB_MOQ_1],MATCH(A15,Rebate_Lookup[SKU CODE],0)),
IF(N15=2,INDEX(Rebate_Lookup[REB_MOQ_2],MATCH(A15,Rebate_Lookup[SKU CODE],0)),
IF(N15=3,INDEX(Rebate_Lookup[REB_MOQ_3],MATCH(A15,Rebate_Lookup[SKU CODE],0)),
IF(N15=4,INDEX(Rebate_Lookup[REB_MOQ_4],MATCH(A15,Rebate_Lookup[SKU CODE],0)),
"#err")))))</f>
        <v/>
      </c>
      <c r="P15" s="41" t="str">
        <f>IF(L41&gt;5000,IF(OR(O15=0,O15=""),"",ROUND(H15*O15,2)),"")</f>
        <v/>
      </c>
      <c r="Q15" s="41" t="str">
        <f>IF(
    H15&gt;0,
    IF(
        ISNUMBER(SEARCH("*Specticle**FLO*",E15)),
        IF(
            AND(_xlfn.XLOOKUP(A15,PRICING[SKU],PRICING[October Bonus],FALSE),$R$10="YES"),
            ROUND(L15*$G$86,2),
            "N/A"
        ),
        IFERROR(IF(_xlfn.XLOOKUP(A15,PRICING[SKU],PRICING[October Bonus],FALSE),ROUND(L15*SUM($G$83:$G$86),2),ROUND(L15*SUM($G$83:$G$85),2)),"")
    ),
    ""
)</f>
        <v/>
      </c>
      <c r="R15" s="39" t="str">
        <f t="shared" ref="R15:R17" si="3">IFERROR(ROUND((L15-SUM(P15:Q15))/H15,2),"")</f>
        <v/>
      </c>
      <c r="S15" s="42" t="str">
        <f t="shared" ref="S15:S17" si="4">IF(AND(H15&lt;&gt;"",H15&gt;0), ROUND(H15*R15,2),"")</f>
        <v/>
      </c>
      <c r="T15" s="271" cm="1">
        <f t="array" ref="T15">IF(OR(H15="",H15=0),
ROUND(_xlfn.XLOOKUP(1,(PRICING[SKU]=A15)*(PRICING[Set]=1),PRICING[Standard Use Rate (oz/M)]),2),ROUND(
_xlfn.XLOOKUP(
1,
(PRICING[SKU]=A15)*
(PRICING[Set]=IF(
_xlfn.XLOOKUP(A15,Rebate_Lookup[SKU CODE],Rebate_Lookup[MOQ_2])=0,
1,
IF(
AND(
_xlfn.XLOOKUP(A15,Rebate_Lookup[SKU CODE],Rebate_Lookup[MOQ_3])=0,
H15&gt;=_xlfn.XLOOKUP(A15,Rebate_Lookup[SKU CODE],Rebate_Lookup[MOQ_2])
),
2,
IF(
AND(
H15&gt;=_xlfn.XLOOKUP(A15,Rebate_Lookup[SKU CODE],Rebate_Lookup[MOQ_1]),
H15&lt;_xlfn.XLOOKUP(A15,Rebate_Lookup[SKU CODE],Rebate_Lookup[MOQ_2])
),
1,
IF(
AND(
H15&gt;=_xlfn.XLOOKUP(A15,Rebate_Lookup[SKU CODE],Rebate_Lookup[MOQ_2]),
OR(
_xlfn.XLOOKUP(A15,Rebate_Lookup[SKU CODE],Rebate_Lookup[MOQ_3])=0,
H15&lt;_xlfn.XLOOKUP(A15,Rebate_Lookup[SKU CODE],Rebate_Lookup[MOQ_3])
)
),
2,
IF(
OR(
AND(
_xlfn.XLOOKUP(A15,Rebate_Lookup[SKU CODE],Rebate_Lookup[MOQ_4])=0,
H15&gt;=_xlfn.XLOOKUP(A15,Rebate_Lookup[SKU CODE],Rebate_Lookup[MOQ_3])
),
AND(
_xlfn.XLOOKUP(A15,Rebate_Lookup[SKU CODE],Rebate_Lookup[MOQ_4])&gt;0,
H15&gt;=_xlfn.XLOOKUP(A15,Rebate_Lookup[SKU CODE],Rebate_Lookup[MOQ_3]),
H15&lt;_xlfn.XLOOKUP(A15,Rebate_Lookup[SKU CODE],Rebate_Lookup[MOQ_4])
)
),
3,
IF(
AND(
_xlfn.XLOOKUP(A15,Rebate_Lookup[SKU CODE],Rebate_Lookup[MOQ_4])&gt;0,
H15&gt;=_xlfn.XLOOKUP(A15,Rebate_Lookup[SKU CODE],Rebate_Lookup[MOQ_4])
),
4,
1
)
)
)
)
)
)),
PRICING[Standard Use Rate (oz/M)]
),
2
))</f>
        <v>0.32</v>
      </c>
      <c r="U15" s="43">
        <f t="shared" ref="U15:U17" si="5">ROUND(T15*43.56,2)</f>
        <v>13.94</v>
      </c>
      <c r="V15" s="43" t="str">
        <f>IF(AND(TRIM(U15)&lt;&gt;"",TRIM(H15)&lt;&gt;""),ROUND(H15*INDEX(PRICING[Package Ounces],MATCH(A15,PRICING[SKU],0))/U15,2),"")</f>
        <v/>
      </c>
      <c r="W15" s="249">
        <f t="shared" ref="W15:W17" si="6">IF(H15&lt;&gt;0,ROUND(S15/V15,2),0)</f>
        <v>0</v>
      </c>
      <c r="X15" s="250">
        <f t="shared" ref="X15:X17" si="7">ROUND(W15/43.56,2)</f>
        <v>0</v>
      </c>
    </row>
    <row r="16" spans="1:25" ht="18.5" customHeight="1" x14ac:dyDescent="0.2">
      <c r="A16" s="253" t="s">
        <v>47</v>
      </c>
      <c r="B16" s="254" t="b">
        <f t="shared" si="0"/>
        <v>0</v>
      </c>
      <c r="D16" s="75" t="str" cm="1">
        <f t="array" ref="D16">IFERROR(
    _xlfn.TEXTJOIN(
        "; ",
        TRUE,
        _xlfn._xlws.FILTER(
            TEXT(PRICING[Rebate $],"$#,##0.00") &amp;
            " off on " &amp;
            IF(
                (PRICING[Min Qty]="") + (PRICING[Min Qty]=0),
                "1 unit",
                PRICING[Min Qty] &amp; " units"
            ),
            (PRICING[SKU]=$A16) *
            (PRICING[Rebate $]&lt;&gt;"")
        )
    ),
    "n/a"
)</f>
        <v>$0.00 off on 16-31 units</v>
      </c>
      <c r="E16" s="44" t="str">
        <f>_xlfn.XLOOKUP(A16, PRICING[SKU], PRICING[Product], "")</f>
        <v>Altus®</v>
      </c>
      <c r="F16" s="45" t="str">
        <f>_xlfn.XLOOKUP(A16, PRICING[SKU], PRICING[Size], "")</f>
        <v>64 oz</v>
      </c>
      <c r="G16" s="37" t="str">
        <f>IF(_xlfn.XLOOKUP(A16,PRICING[SKU],PRICING[Indication])="I","Insecticide",
 IF(_xlfn.XLOOKUP(A16,PRICING[SKU],PRICING[Indication])="H","Herbicide",
 IF(_xlfn.XLOOKUP(A16,PRICING[SKU],PRICING[Indication])="F","Fungicide",
 IF(_xlfn.XLOOKUP(A16,PRICING[SKU],PRICING[Indication])="PGR","PGR",""))))</f>
        <v>Insecticide</v>
      </c>
      <c r="H16" s="46"/>
      <c r="I16" s="38">
        <f>INDEX(PRICING[2026 In-Season Price],MATCH(A16,PRICING[SKU],0))</f>
        <v>471.04</v>
      </c>
      <c r="J16" s="39" t="str">
        <f t="shared" si="1"/>
        <v/>
      </c>
      <c r="K16" s="39">
        <f>INDEX(PRICING[NOW Price],MATCH(A16,PRICING[SKU],0))</f>
        <v>447.36</v>
      </c>
      <c r="L16" s="39" t="str">
        <f t="shared" si="2"/>
        <v/>
      </c>
      <c r="M16" s="40">
        <f>INDEX(Rebate_Lookup[Instances],MATCH(A16,Rebate_Lookup[SKU CODE],0))</f>
        <v>1</v>
      </c>
      <c r="N16" s="40" t="str">
        <f>IF(H16="","",INDEX(Rebate_Lookup[Qualified Rebate Tier],MATCH(A16,Rebate_Lookup[SKU CODE],0)))</f>
        <v/>
      </c>
      <c r="O16" s="39" t="str">
        <f>IF(OR(H16="",N16=""),"",
IF(N16=1,INDEX(Rebate_Lookup[REB_MOQ_1],MATCH(A16,Rebate_Lookup[SKU CODE],0)),
IF(N16=2,INDEX(Rebate_Lookup[REB_MOQ_2],MATCH(A16,Rebate_Lookup[SKU CODE],0)),
IF(N16=3,INDEX(Rebate_Lookup[REB_MOQ_3],MATCH(A16,Rebate_Lookup[SKU CODE],0)),
IF(N16=4,INDEX(Rebate_Lookup[REB_MOQ_4],MATCH(A16,Rebate_Lookup[SKU CODE],0)),
"#err")))))</f>
        <v/>
      </c>
      <c r="P16" s="41" t="str">
        <f>IF(L41&gt;5000,IF(OR(O16=0,O16=""),"",ROUND(H16*O16,2)),"")</f>
        <v/>
      </c>
      <c r="Q16" s="41" t="str">
        <f>IF(
    H16&gt;0,
    IF(
        ISNUMBER(SEARCH("*Specticle**FLO*",E16)),
        IF(
            AND(_xlfn.XLOOKUP(A16,PRICING[SKU],PRICING[October Bonus],FALSE),$R$10="YES"),
            ROUND(L16*$G$86,2),
            "N/A"
        ),
        IFERROR(IF(_xlfn.XLOOKUP(A16,PRICING[SKU],PRICING[October Bonus],FALSE),ROUND(L16*SUM($G$83:$G$86),2),ROUND(L16*SUM($G$83:$G$85),2)),"")
    ),
    ""
)</f>
        <v/>
      </c>
      <c r="R16" s="39" t="str">
        <f t="shared" si="3"/>
        <v/>
      </c>
      <c r="S16" s="42" t="str">
        <f t="shared" si="4"/>
        <v/>
      </c>
      <c r="T16" s="271" cm="1">
        <f t="array" ref="T16">IF(OR(H16="",H16=0),
ROUND(_xlfn.XLOOKUP(1,(PRICING[SKU]=A16)*(PRICING[Set]=1),PRICING[Standard Use Rate (oz/M)]),2),ROUND(
_xlfn.XLOOKUP(
1,
(PRICING[SKU]=A16)*
(PRICING[Set]=IF(
_xlfn.XLOOKUP(A16,Rebate_Lookup[SKU CODE],Rebate_Lookup[MOQ_2])=0,
1,
IF(
AND(
_xlfn.XLOOKUP(A16,Rebate_Lookup[SKU CODE],Rebate_Lookup[MOQ_3])=0,
H16&gt;=_xlfn.XLOOKUP(A16,Rebate_Lookup[SKU CODE],Rebate_Lookup[MOQ_2])
),
2,
IF(
AND(
H16&gt;=_xlfn.XLOOKUP(A16,Rebate_Lookup[SKU CODE],Rebate_Lookup[MOQ_1]),
H16&lt;_xlfn.XLOOKUP(A16,Rebate_Lookup[SKU CODE],Rebate_Lookup[MOQ_2])
),
1,
IF(
AND(
H16&gt;=_xlfn.XLOOKUP(A16,Rebate_Lookup[SKU CODE],Rebate_Lookup[MOQ_2]),
OR(
_xlfn.XLOOKUP(A16,Rebate_Lookup[SKU CODE],Rebate_Lookup[MOQ_3])=0,
H16&lt;_xlfn.XLOOKUP(A16,Rebate_Lookup[SKU CODE],Rebate_Lookup[MOQ_3])
)
),
2,
IF(
OR(
AND(
_xlfn.XLOOKUP(A16,Rebate_Lookup[SKU CODE],Rebate_Lookup[MOQ_4])=0,
H16&gt;=_xlfn.XLOOKUP(A16,Rebate_Lookup[SKU CODE],Rebate_Lookup[MOQ_3])
),
AND(
_xlfn.XLOOKUP(A16,Rebate_Lookup[SKU CODE],Rebate_Lookup[MOQ_4])&gt;0,
H16&gt;=_xlfn.XLOOKUP(A16,Rebate_Lookup[SKU CODE],Rebate_Lookup[MOQ_3]),
H16&lt;_xlfn.XLOOKUP(A16,Rebate_Lookup[SKU CODE],Rebate_Lookup[MOQ_4])
)
),
3,
IF(
AND(
_xlfn.XLOOKUP(A16,Rebate_Lookup[SKU CODE],Rebate_Lookup[MOQ_4])&gt;0,
H16&gt;=_xlfn.XLOOKUP(A16,Rebate_Lookup[SKU CODE],Rebate_Lookup[MOQ_4])
),
4,
1
)
)
)
)
)
)),
PRICING[Standard Use Rate (oz/M)]
),
2
))</f>
        <v>0.32</v>
      </c>
      <c r="U16" s="43">
        <f t="shared" si="5"/>
        <v>13.94</v>
      </c>
      <c r="V16" s="43" t="str">
        <f>IF(AND(TRIM(U16)&lt;&gt;"",TRIM(H16)&lt;&gt;""),ROUND(H16*INDEX(PRICING[Package Ounces],MATCH(A16,PRICING[SKU],0))/U16,2),"")</f>
        <v/>
      </c>
      <c r="W16" s="249">
        <f t="shared" si="6"/>
        <v>0</v>
      </c>
      <c r="X16" s="250">
        <f t="shared" si="7"/>
        <v>0</v>
      </c>
    </row>
    <row r="17" spans="1:24" ht="18.5" customHeight="1" x14ac:dyDescent="0.2">
      <c r="A17" s="253" t="s">
        <v>48</v>
      </c>
      <c r="B17" s="254" t="b">
        <f t="shared" si="0"/>
        <v>0</v>
      </c>
      <c r="D17" s="75" t="str" cm="1">
        <f t="array" ref="D17">IFERROR(
    _xlfn.TEXTJOIN(
        "; ",
        TRUE,
        _xlfn._xlws.FILTER(
            TEXT(PRICING[Rebate $],"$#,##0.00") &amp;
            " off on " &amp;
            IF(
                (PRICING[Min Qty]="") + (PRICING[Min Qty]=0),
                "1 unit",
                PRICING[Min Qty] &amp; " units"
            ),
            (PRICING[SKU]=$A17) *
            (PRICING[Rebate $]&lt;&gt;"")
        )
    ),
    "n/a"
)</f>
        <v>$0.00 off on 32+ units</v>
      </c>
      <c r="E17" s="44" t="str">
        <f>_xlfn.XLOOKUP(A17, PRICING[SKU], PRICING[Product], "")</f>
        <v>Altus®</v>
      </c>
      <c r="F17" s="45" t="str">
        <f>_xlfn.XLOOKUP(A17, PRICING[SKU], PRICING[Size], "")</f>
        <v>64 oz</v>
      </c>
      <c r="G17" s="37" t="str">
        <f>IF(_xlfn.XLOOKUP(A17,PRICING[SKU],PRICING[Indication])="I","Insecticide",
 IF(_xlfn.XLOOKUP(A17,PRICING[SKU],PRICING[Indication])="H","Herbicide",
 IF(_xlfn.XLOOKUP(A17,PRICING[SKU],PRICING[Indication])="F","Fungicide",
 IF(_xlfn.XLOOKUP(A17,PRICING[SKU],PRICING[Indication])="PGR","PGR",""))))</f>
        <v>Insecticide</v>
      </c>
      <c r="H17" s="46"/>
      <c r="I17" s="38">
        <f>INDEX(PRICING[2026 In-Season Price],MATCH(A17,PRICING[SKU],0))</f>
        <v>471.04</v>
      </c>
      <c r="J17" s="39" t="str">
        <f t="shared" si="1"/>
        <v/>
      </c>
      <c r="K17" s="39">
        <f>INDEX(PRICING[NOW Price],MATCH(A17,PRICING[SKU],0))</f>
        <v>423.68</v>
      </c>
      <c r="L17" s="39" t="str">
        <f t="shared" si="2"/>
        <v/>
      </c>
      <c r="M17" s="40">
        <f>INDEX(Rebate_Lookup[Instances],MATCH(A17,Rebate_Lookup[SKU CODE],0))</f>
        <v>1</v>
      </c>
      <c r="N17" s="40" t="str">
        <f>IF(H17="","",INDEX(Rebate_Lookup[Qualified Rebate Tier],MATCH(A17,Rebate_Lookup[SKU CODE],0)))</f>
        <v/>
      </c>
      <c r="O17" s="39" t="str">
        <f>IF(OR(H17="",N17=""),"",
IF(N17=1,INDEX(Rebate_Lookup[REB_MOQ_1],MATCH(A17,Rebate_Lookup[SKU CODE],0)),
IF(N17=2,INDEX(Rebate_Lookup[REB_MOQ_2],MATCH(A17,Rebate_Lookup[SKU CODE],0)),
IF(N17=3,INDEX(Rebate_Lookup[REB_MOQ_3],MATCH(A17,Rebate_Lookup[SKU CODE],0)),
IF(N17=4,INDEX(Rebate_Lookup[REB_MOQ_4],MATCH(A17,Rebate_Lookup[SKU CODE],0)),
"#err")))))</f>
        <v/>
      </c>
      <c r="P17" s="41" t="str">
        <f>IF(L41&gt;5000,IF(OR(O17=0,O17=""),"",ROUND(H17*O17,2)),"")</f>
        <v/>
      </c>
      <c r="Q17" s="41" t="str">
        <f>IF(
    H17&gt;0,
    IF(
        ISNUMBER(SEARCH("*Specticle**FLO*",E17)),
        IF(
            AND(_xlfn.XLOOKUP(A17,PRICING[SKU],PRICING[October Bonus],FALSE),$R$10="YES"),
            ROUND(L17*$G$86,2),
            "N/A"
        ),
        IFERROR(IF(_xlfn.XLOOKUP(A17,PRICING[SKU],PRICING[October Bonus],FALSE),ROUND(L17*SUM($G$83:$G$86),2),ROUND(L17*SUM($G$83:$G$85),2)),"")
    ),
    ""
)</f>
        <v/>
      </c>
      <c r="R17" s="39" t="str">
        <f t="shared" si="3"/>
        <v/>
      </c>
      <c r="S17" s="42" t="str">
        <f t="shared" si="4"/>
        <v/>
      </c>
      <c r="T17" s="271" cm="1">
        <f t="array" ref="T17">IF(OR(H17="",H17=0),
ROUND(_xlfn.XLOOKUP(1,(PRICING[SKU]=A17)*(PRICING[Set]=1),PRICING[Standard Use Rate (oz/M)]),2),ROUND(
_xlfn.XLOOKUP(
1,
(PRICING[SKU]=A17)*
(PRICING[Set]=IF(
_xlfn.XLOOKUP(A17,Rebate_Lookup[SKU CODE],Rebate_Lookup[MOQ_2])=0,
1,
IF(
AND(
_xlfn.XLOOKUP(A17,Rebate_Lookup[SKU CODE],Rebate_Lookup[MOQ_3])=0,
H17&gt;=_xlfn.XLOOKUP(A17,Rebate_Lookup[SKU CODE],Rebate_Lookup[MOQ_2])
),
2,
IF(
AND(
H17&gt;=_xlfn.XLOOKUP(A17,Rebate_Lookup[SKU CODE],Rebate_Lookup[MOQ_1]),
H17&lt;_xlfn.XLOOKUP(A17,Rebate_Lookup[SKU CODE],Rebate_Lookup[MOQ_2])
),
1,
IF(
AND(
H17&gt;=_xlfn.XLOOKUP(A17,Rebate_Lookup[SKU CODE],Rebate_Lookup[MOQ_2]),
OR(
_xlfn.XLOOKUP(A17,Rebate_Lookup[SKU CODE],Rebate_Lookup[MOQ_3])=0,
H17&lt;_xlfn.XLOOKUP(A17,Rebate_Lookup[SKU CODE],Rebate_Lookup[MOQ_3])
)
),
2,
IF(
OR(
AND(
_xlfn.XLOOKUP(A17,Rebate_Lookup[SKU CODE],Rebate_Lookup[MOQ_4])=0,
H17&gt;=_xlfn.XLOOKUP(A17,Rebate_Lookup[SKU CODE],Rebate_Lookup[MOQ_3])
),
AND(
_xlfn.XLOOKUP(A17,Rebate_Lookup[SKU CODE],Rebate_Lookup[MOQ_4])&gt;0,
H17&gt;=_xlfn.XLOOKUP(A17,Rebate_Lookup[SKU CODE],Rebate_Lookup[MOQ_3]),
H17&lt;_xlfn.XLOOKUP(A17,Rebate_Lookup[SKU CODE],Rebate_Lookup[MOQ_4])
)
),
3,
IF(
AND(
_xlfn.XLOOKUP(A17,Rebate_Lookup[SKU CODE],Rebate_Lookup[MOQ_4])&gt;0,
H17&gt;=_xlfn.XLOOKUP(A17,Rebate_Lookup[SKU CODE],Rebate_Lookup[MOQ_4])
),
4,
1
)
)
)
)
)
)),
PRICING[Standard Use Rate (oz/M)]
),
2
))</f>
        <v>0.32</v>
      </c>
      <c r="U17" s="43">
        <f t="shared" si="5"/>
        <v>13.94</v>
      </c>
      <c r="V17" s="43" t="str">
        <f>IF(AND(TRIM(U17)&lt;&gt;"",TRIM(H17)&lt;&gt;""),ROUND(H17*INDEX(PRICING[Package Ounces],MATCH(A17,PRICING[SKU],0))/U17,2),"")</f>
        <v/>
      </c>
      <c r="W17" s="249">
        <f t="shared" si="6"/>
        <v>0</v>
      </c>
      <c r="X17" s="250">
        <f t="shared" si="7"/>
        <v>0</v>
      </c>
    </row>
    <row r="18" spans="1:24" ht="18.5" customHeight="1" x14ac:dyDescent="0.2">
      <c r="A18" s="253" t="s">
        <v>49</v>
      </c>
      <c r="B18" s="254" t="b">
        <f t="shared" ref="B18:B40" si="8">H18&gt;0</f>
        <v>0</v>
      </c>
      <c r="D18" s="75" t="str" cm="1">
        <f t="array" ref="D18">IFERROR(
    _xlfn.TEXTJOIN(
        "; ",
        TRUE,
        _xlfn._xlws.FILTER(
            TEXT(PRICING[Rebate $],"$#,##0.00") &amp;
            " off on " &amp;
            IF(
                (PRICING[Min Qty]="") + (PRICING[Min Qty]=0),
                "1 unit",
                PRICING[Min Qty] &amp; " units"
            ),
            (PRICING[SKU]=$A18) *
            (PRICING[Rebate $]&lt;&gt;"") *
            (PRICING[Rebate $]&lt;&gt;0)
        )
    ),
    "n/a"
)</f>
        <v>$5.00 off on 16+ units</v>
      </c>
      <c r="E18" s="44" t="str">
        <f>_xlfn.XLOOKUP(A18, PRICING[SKU], PRICING[Product], "")</f>
        <v>Celsius® WG</v>
      </c>
      <c r="F18" s="45" t="str">
        <f>_xlfn.XLOOKUP(A18, PRICING[SKU], PRICING[Size], "")</f>
        <v>10 oz</v>
      </c>
      <c r="G18" s="37" t="str">
        <f>IF(_xlfn.XLOOKUP(A18,PRICING[SKU],PRICING[Indication])="I","Insecticide",
 IF(_xlfn.XLOOKUP(A18,PRICING[SKU],PRICING[Indication])="H","Herbicide",
 IF(_xlfn.XLOOKUP(A18,PRICING[SKU],PRICING[Indication])="F","Fungicide",
 IF(_xlfn.XLOOKUP(A18,PRICING[SKU],PRICING[Indication])="PGR","PGR",""))))</f>
        <v>Herbicide</v>
      </c>
      <c r="H18" s="46"/>
      <c r="I18" s="38">
        <f>INDEX(PRICING[2026 In-Season Price],MATCH(A18,PRICING[SKU],0))</f>
        <v>137.19999999999999</v>
      </c>
      <c r="J18" s="39" t="str">
        <f>IF(H18*I18= 0,"",ROUND(H18*I18,2))</f>
        <v/>
      </c>
      <c r="K18" s="39">
        <f>INDEX(PRICING[NOW Price],MATCH(A18,PRICING[SKU],0))</f>
        <v>133.19999999999999</v>
      </c>
      <c r="L18" s="39" t="str">
        <f>IF(H18*K18= 0,"",ROUND(H18*K18,2))</f>
        <v/>
      </c>
      <c r="M18" s="40">
        <f>INDEX(Rebate_Lookup[Instances],MATCH(A18,Rebate_Lookup[SKU CODE],0))</f>
        <v>2</v>
      </c>
      <c r="N18" s="40" t="str">
        <f>IF(H18="","",INDEX(Rebate_Lookup[Qualified Rebate Tier],MATCH(A18,Rebate_Lookup[SKU CODE],0)))</f>
        <v/>
      </c>
      <c r="O18" s="39" t="str">
        <f>IF(OR(H18="",N18=""),"",
IF(N18=1,INDEX(Rebate_Lookup[REB_MOQ_1],MATCH(A18,Rebate_Lookup[SKU CODE],0)),
IF(N18=2,INDEX(Rebate_Lookup[REB_MOQ_2],MATCH(A18,Rebate_Lookup[SKU CODE],0)),
IF(N18=3,INDEX(Rebate_Lookup[REB_MOQ_3],MATCH(A18,Rebate_Lookup[SKU CODE],0)),
IF(N18=4,INDEX(Rebate_Lookup[REB_MOQ_4],MATCH(A18,Rebate_Lookup[SKU CODE],0)),
"#err")))))</f>
        <v/>
      </c>
      <c r="P18" s="41" t="str">
        <f>IF(L41&gt;5000,IF(OR(O18=0,O18=""),"",ROUND(H18*O18,2)),"")</f>
        <v/>
      </c>
      <c r="Q18" s="41" t="str">
        <f>IF(
    H18&gt;0,
    IF(
        ISNUMBER(SEARCH("*Specticle**FLO*",E18)),
        IF(
            AND(_xlfn.XLOOKUP(A18,PRICING[SKU],PRICING[October Bonus],FALSE),$R$10="YES"),
            ROUND(L18*$G$86,2),
            "N/A"
        ),
        IFERROR(IF(_xlfn.XLOOKUP(A18,PRICING[SKU],PRICING[October Bonus],FALSE),ROUND(L18*SUM($G$83:$G$86),2),ROUND(L18*SUM($G$83:$G$85),2)),"")
    ),
    ""
)</f>
        <v/>
      </c>
      <c r="R18" s="39" t="str">
        <f>IFERROR(ROUND((L18-SUM(P18:Q18))/H18,2),"")</f>
        <v/>
      </c>
      <c r="S18" s="42" t="str">
        <f>IF(AND(H18&lt;&gt;"",H18&gt;0), ROUND(H18*R18,2),"")</f>
        <v/>
      </c>
      <c r="T18" s="271" cm="1">
        <f t="array" ref="T18">IF(OR(H18="",H18=0),
ROUND(_xlfn.XLOOKUP(1,(PRICING[SKU]=A18)*(PRICING[Set]=1),PRICING[Standard Use Rate (oz/M)]),2),ROUND(
_xlfn.XLOOKUP(
1,
(PRICING[SKU]=A18)*
(PRICING[Set]=IF(
_xlfn.XLOOKUP(A18,Rebate_Lookup[SKU CODE],Rebate_Lookup[MOQ_2])=0,
1,
IF(
AND(
_xlfn.XLOOKUP(A18,Rebate_Lookup[SKU CODE],Rebate_Lookup[MOQ_3])=0,
H18&gt;=_xlfn.XLOOKUP(A18,Rebate_Lookup[SKU CODE],Rebate_Lookup[MOQ_2])
),
2,
IF(
AND(
H18&gt;=_xlfn.XLOOKUP(A18,Rebate_Lookup[SKU CODE],Rebate_Lookup[MOQ_1]),
H18&lt;_xlfn.XLOOKUP(A18,Rebate_Lookup[SKU CODE],Rebate_Lookup[MOQ_2])
),
1,
IF(
AND(
H18&gt;=_xlfn.XLOOKUP(A18,Rebate_Lookup[SKU CODE],Rebate_Lookup[MOQ_2]),
OR(
_xlfn.XLOOKUP(A18,Rebate_Lookup[SKU CODE],Rebate_Lookup[MOQ_3])=0,
H18&lt;_xlfn.XLOOKUP(A18,Rebate_Lookup[SKU CODE],Rebate_Lookup[MOQ_3])
)
),
2,
IF(
OR(
AND(
_xlfn.XLOOKUP(A18,Rebate_Lookup[SKU CODE],Rebate_Lookup[MOQ_4])=0,
H18&gt;=_xlfn.XLOOKUP(A18,Rebate_Lookup[SKU CODE],Rebate_Lookup[MOQ_3])
),
AND(
_xlfn.XLOOKUP(A18,Rebate_Lookup[SKU CODE],Rebate_Lookup[MOQ_4])&gt;0,
H18&gt;=_xlfn.XLOOKUP(A18,Rebate_Lookup[SKU CODE],Rebate_Lookup[MOQ_3]),
H18&lt;_xlfn.XLOOKUP(A18,Rebate_Lookup[SKU CODE],Rebate_Lookup[MOQ_4])
)
),
3,
IF(
AND(
_xlfn.XLOOKUP(A18,Rebate_Lookup[SKU CODE],Rebate_Lookup[MOQ_4])&gt;0,
H18&gt;=_xlfn.XLOOKUP(A18,Rebate_Lookup[SKU CODE],Rebate_Lookup[MOQ_4])
),
4,
1
)
)
)
)
)
)),
PRICING[Standard Use Rate (oz/M)]
),
2
))</f>
        <v>0.08</v>
      </c>
      <c r="U18" s="43">
        <f>ROUND(T18*43.56,2)</f>
        <v>3.48</v>
      </c>
      <c r="V18" s="43" t="str">
        <f>IF(AND(TRIM(U18)&lt;&gt;"",TRIM(H18)&lt;&gt;""),ROUND(H18*INDEX(PRICING[Package Ounces],MATCH(A18,PRICING[SKU],0))/U18,2),"")</f>
        <v/>
      </c>
      <c r="W18" s="249">
        <f t="shared" ref="W18:W32" si="9">IF(H18&lt;&gt;0,ROUND(S18/V18,2),0)</f>
        <v>0</v>
      </c>
      <c r="X18" s="250">
        <f t="shared" ref="X18:X40" si="10">ROUND(W18/43.56,2)</f>
        <v>0</v>
      </c>
    </row>
    <row r="19" spans="1:24" ht="18.5" customHeight="1" x14ac:dyDescent="0.2">
      <c r="A19" s="255" t="s">
        <v>50</v>
      </c>
      <c r="B19" s="254" t="b">
        <f t="shared" si="8"/>
        <v>0</v>
      </c>
      <c r="D19" s="75" t="str" cm="1">
        <f t="array" ref="D19">IFERROR(
    _xlfn.TEXTJOIN(
        "; ",
        TRUE,
        _xlfn._xlws.FILTER(
            TEXT(PRICING[Rebate $],"$#,##0.00") &amp;
            " off on " &amp;
            IF(
                (PRICING[Min Qty]="") + (PRICING[Min Qty]=0),
                "1 unit",
                PRICING[Min Qty] &amp; " units"
            ),
            (PRICING[SKU]=$A19) *
            (PRICING[Rebate $]&lt;&gt;"") *
            (PRICING[Rebate $]&lt;&gt;0)
        )
    ),
    "n/a"
)</f>
        <v>$7.00 off on 16+ units</v>
      </c>
      <c r="E19" s="44" t="str">
        <f>_xlfn.XLOOKUP(A19, PRICING[SKU], PRICING[Product], "")</f>
        <v>Celsius® XTRA</v>
      </c>
      <c r="F19" s="45" t="str">
        <f>_xlfn.XLOOKUP(A19, PRICING[SKU], PRICING[Size], "")</f>
        <v>10 oz</v>
      </c>
      <c r="G19" s="37" t="str">
        <f>IF(_xlfn.XLOOKUP(A19,PRICING[SKU],PRICING[Indication])="I","Insecticide",
 IF(_xlfn.XLOOKUP(A19,PRICING[SKU],PRICING[Indication])="H","Herbicide",
 IF(_xlfn.XLOOKUP(A19,PRICING[SKU],PRICING[Indication])="F","Fungicide",
 IF(_xlfn.XLOOKUP(A19,PRICING[SKU],PRICING[Indication])="PGR","PGR",""))))</f>
        <v>Herbicide</v>
      </c>
      <c r="H19" s="46"/>
      <c r="I19" s="38">
        <f>INDEX(PRICING[2026 In-Season Price],MATCH(A19,PRICING[SKU],0))</f>
        <v>165.3</v>
      </c>
      <c r="J19" s="39" t="str">
        <f t="shared" ref="J19:J40" si="11">IF(H19*I19= 0,"",ROUND(H19*I19,2))</f>
        <v/>
      </c>
      <c r="K19" s="39">
        <f>INDEX(PRICING[NOW Price],MATCH(A19,PRICING[SKU],0))</f>
        <v>165.3</v>
      </c>
      <c r="L19" s="39" t="str">
        <f t="shared" ref="L19:L40" si="12">IF(H19*K19= 0,"",ROUND(H19*K19,2))</f>
        <v/>
      </c>
      <c r="M19" s="40">
        <f>INDEX(Rebate_Lookup[Instances],MATCH(A19,Rebate_Lookup[SKU CODE],0))</f>
        <v>2</v>
      </c>
      <c r="N19" s="40" t="str">
        <f>IF(H19="","",INDEX(Rebate_Lookup[Qualified Rebate Tier],MATCH(A19,Rebate_Lookup[SKU CODE],0)))</f>
        <v/>
      </c>
      <c r="O19" s="39" t="str">
        <f>IF(OR(H19="",N19=""),"",
IF(N19=1,INDEX(Rebate_Lookup[REB_MOQ_1],MATCH(A19,Rebate_Lookup[SKU CODE],0)),
IF(N19=2,INDEX(Rebate_Lookup[REB_MOQ_2],MATCH(A19,Rebate_Lookup[SKU CODE],0)),
IF(N19=3,INDEX(Rebate_Lookup[REB_MOQ_3],MATCH(A19,Rebate_Lookup[SKU CODE],0)),
IF(N19=4,INDEX(Rebate_Lookup[REB_MOQ_4],MATCH(A19,Rebate_Lookup[SKU CODE],0)),
"#err")))))</f>
        <v/>
      </c>
      <c r="P19" s="41" t="str">
        <f>IF(L41&gt;5000,IF(OR(O19=0,O19=""),"",ROUND(H19*O19,2)),"")</f>
        <v/>
      </c>
      <c r="Q19" s="41" t="str">
        <f>IF(
    H19&gt;0,
    IF(
        ISNUMBER(SEARCH("*Specticle**FLO*",E19)),
        IF(
            AND(_xlfn.XLOOKUP(A19,PRICING[SKU],PRICING[October Bonus],FALSE),$R$10="YES"),
            ROUND(L19*$G$86,2),
            "N/A"
        ),
        IFERROR(IF(_xlfn.XLOOKUP(A19,PRICING[SKU],PRICING[October Bonus],FALSE),ROUND(L19*SUM($G$83:$G$86),2),ROUND(L19*SUM($G$83:$G$85),2)),"")
    ),
    ""
)</f>
        <v/>
      </c>
      <c r="R19" s="39" t="str">
        <f t="shared" ref="R19:R40" si="13">IFERROR(ROUND((L19-SUM(P19:Q19))/H19,2),"")</f>
        <v/>
      </c>
      <c r="S19" s="42" t="str">
        <f t="shared" ref="S19:S40" si="14">IF(AND(H19&lt;&gt;"",H19&gt;0), ROUND(H19*R19,2),"")</f>
        <v/>
      </c>
      <c r="T19" s="271" cm="1">
        <f t="array" ref="T19">IF(OR(H19="",H19=0),
ROUND(_xlfn.XLOOKUP(1,(PRICING[SKU]=A19)*(PRICING[Set]=1),PRICING[Standard Use Rate (oz/M)]),2),ROUND(
_xlfn.XLOOKUP(
1,
(PRICING[SKU]=A19)*
(PRICING[Set]=IF(
_xlfn.XLOOKUP(A19,Rebate_Lookup[SKU CODE],Rebate_Lookup[MOQ_2])=0,
1,
IF(
AND(
_xlfn.XLOOKUP(A19,Rebate_Lookup[SKU CODE],Rebate_Lookup[MOQ_3])=0,
H19&gt;=_xlfn.XLOOKUP(A19,Rebate_Lookup[SKU CODE],Rebate_Lookup[MOQ_2])
),
2,
IF(
AND(
H19&gt;=_xlfn.XLOOKUP(A19,Rebate_Lookup[SKU CODE],Rebate_Lookup[MOQ_1]),
H19&lt;_xlfn.XLOOKUP(A19,Rebate_Lookup[SKU CODE],Rebate_Lookup[MOQ_2])
),
1,
IF(
AND(
H19&gt;=_xlfn.XLOOKUP(A19,Rebate_Lookup[SKU CODE],Rebate_Lookup[MOQ_2]),
OR(
_xlfn.XLOOKUP(A19,Rebate_Lookup[SKU CODE],Rebate_Lookup[MOQ_3])=0,
H19&lt;_xlfn.XLOOKUP(A19,Rebate_Lookup[SKU CODE],Rebate_Lookup[MOQ_3])
)
),
2,
IF(
OR(
AND(
_xlfn.XLOOKUP(A19,Rebate_Lookup[SKU CODE],Rebate_Lookup[MOQ_4])=0,
H19&gt;=_xlfn.XLOOKUP(A19,Rebate_Lookup[SKU CODE],Rebate_Lookup[MOQ_3])
),
AND(
_xlfn.XLOOKUP(A19,Rebate_Lookup[SKU CODE],Rebate_Lookup[MOQ_4])&gt;0,
H19&gt;=_xlfn.XLOOKUP(A19,Rebate_Lookup[SKU CODE],Rebate_Lookup[MOQ_3]),
H19&lt;_xlfn.XLOOKUP(A19,Rebate_Lookup[SKU CODE],Rebate_Lookup[MOQ_4])
)
),
3,
IF(
AND(
_xlfn.XLOOKUP(A19,Rebate_Lookup[SKU CODE],Rebate_Lookup[MOQ_4])&gt;0,
H19&gt;=_xlfn.XLOOKUP(A19,Rebate_Lookup[SKU CODE],Rebate_Lookup[MOQ_4])
),
4,
1
)
)
)
)
)
)),
PRICING[Standard Use Rate (oz/M)]
),
2
))</f>
        <v>0.17</v>
      </c>
      <c r="U19" s="43">
        <f t="shared" ref="U19:U40" si="15">ROUND(T19*43.56,2)</f>
        <v>7.41</v>
      </c>
      <c r="V19" s="43" t="str">
        <f>IF(AND(TRIM(U19)&lt;&gt;"",TRIM(H19)&lt;&gt;""),ROUND(H19*INDEX(PRICING[Package Ounces],MATCH(A19,PRICING[SKU],0))/U19,2),"")</f>
        <v/>
      </c>
      <c r="W19" s="249">
        <f t="shared" si="9"/>
        <v>0</v>
      </c>
      <c r="X19" s="250">
        <f t="shared" si="10"/>
        <v>0</v>
      </c>
    </row>
    <row r="20" spans="1:24" ht="18.5" customHeight="1" x14ac:dyDescent="0.2">
      <c r="A20" s="253">
        <v>11008409</v>
      </c>
      <c r="B20" s="254" t="b">
        <f t="shared" si="8"/>
        <v>0</v>
      </c>
      <c r="D20" s="75" t="str" cm="1">
        <f t="array" ref="D20">IFERROR(
    _xlfn.TEXTJOIN(
        "; ",
        TRUE,
        _xlfn._xlws.FILTER(
            TEXT(PRICING[Rebate $],"$#,##0.00") &amp;
            " off on " &amp;
            IF(
                (PRICING[Min Qty]="") + (PRICING[Min Qty]=0),
                "1 unit",
                PRICING[Min Qty] &amp; " units"
            ),
            (PRICING[SKU]=$A20) *
            (PRICING[Rebate $]&lt;&gt;"") *
            (PRICING[Rebate $]&lt;&gt;0)
        )
    ),
    "n/a"
)</f>
        <v>$5.00 off on 1 unit</v>
      </c>
      <c r="E20" s="44" t="str">
        <f>_xlfn.XLOOKUP(A20, PRICING[SKU], PRICING[Product], "")</f>
        <v>Dismiss® NXT Herbicide</v>
      </c>
      <c r="F20" s="45" t="str">
        <f>_xlfn.XLOOKUP(A20, PRICING[SKU], PRICING[Size], "")</f>
        <v>10 oz</v>
      </c>
      <c r="G20" s="37" t="str">
        <f>IF(_xlfn.XLOOKUP(A20,PRICING[SKU],PRICING[Indication])="I","Insecticide",
 IF(_xlfn.XLOOKUP(A20,PRICING[SKU],PRICING[Indication])="H","Herbicide",
 IF(_xlfn.XLOOKUP(A20,PRICING[SKU],PRICING[Indication])="F","Fungicide",
 IF(_xlfn.XLOOKUP(A20,PRICING[SKU],PRICING[Indication])="PGR","PGR",""))))</f>
        <v>Herbicide</v>
      </c>
      <c r="H20" s="46"/>
      <c r="I20" s="38">
        <f>INDEX(PRICING[2026 In-Season Price],MATCH(A20,PRICING[SKU],0))</f>
        <v>99.1</v>
      </c>
      <c r="J20" s="39" t="str">
        <f t="shared" si="11"/>
        <v/>
      </c>
      <c r="K20" s="39">
        <f>INDEX(PRICING[NOW Price],MATCH(A20,PRICING[SKU],0))</f>
        <v>94.3</v>
      </c>
      <c r="L20" s="39" t="str">
        <f t="shared" si="12"/>
        <v/>
      </c>
      <c r="M20" s="40">
        <f>INDEX(Rebate_Lookup[Instances],MATCH(A20,Rebate_Lookup[SKU CODE],0))</f>
        <v>1</v>
      </c>
      <c r="N20" s="40" t="str">
        <f>IF(H20="","",INDEX(Rebate_Lookup[Qualified Rebate Tier],MATCH(A20,Rebate_Lookup[SKU CODE],0)))</f>
        <v/>
      </c>
      <c r="O20" s="39" t="str">
        <f>IF(OR(H20="",N20=""),"",
IF(N20=1,INDEX(Rebate_Lookup[REB_MOQ_1],MATCH(A20,Rebate_Lookup[SKU CODE],0)),
IF(N20=2,INDEX(Rebate_Lookup[REB_MOQ_2],MATCH(A20,Rebate_Lookup[SKU CODE],0)),
IF(N20=3,INDEX(Rebate_Lookup[REB_MOQ_3],MATCH(A20,Rebate_Lookup[SKU CODE],0)),
IF(N20=4,INDEX(Rebate_Lookup[REB_MOQ_4],MATCH(A20,Rebate_Lookup[SKU CODE],0)),
"#err")))))</f>
        <v/>
      </c>
      <c r="P20" s="41" t="str">
        <f>IF(L41&gt;5000,IF(OR(O20=0,O20=""),"",ROUND(H20*O20,2)),"")</f>
        <v/>
      </c>
      <c r="Q20" s="41" t="str">
        <f>IF(
    H20&gt;0,
    IF(
        ISNUMBER(SEARCH("*Specticle**FLO*",E20)),
        IF(
            AND(_xlfn.XLOOKUP(A20,PRICING[SKU],PRICING[October Bonus],FALSE),$R$10="YES"),
            ROUND(L20*$G$86,2),
            "N/A"
        ),
        IFERROR(IF(_xlfn.XLOOKUP(A20,PRICING[SKU],PRICING[October Bonus],FALSE),ROUND(L20*SUM($G$83:$G$86),2),ROUND(L20*SUM($G$83:$G$85),2)),"")
    ),
    ""
)</f>
        <v/>
      </c>
      <c r="R20" s="39" t="str">
        <f t="shared" si="13"/>
        <v/>
      </c>
      <c r="S20" s="42" t="str">
        <f t="shared" si="14"/>
        <v/>
      </c>
      <c r="T20" s="271" cm="1">
        <f t="array" ref="T20">IF(OR(H20="",H20=0),
ROUND(_xlfn.XLOOKUP(1,(PRICING[SKU]=A20)*(PRICING[Set]=1),PRICING[Standard Use Rate (oz/M)]),2),ROUND(
_xlfn.XLOOKUP(
1,
(PRICING[SKU]=A20)*
(PRICING[Set]=IF(
_xlfn.XLOOKUP(A20,Rebate_Lookup[SKU CODE],Rebate_Lookup[MOQ_2])=0,
1,
IF(
AND(
_xlfn.XLOOKUP(A20,Rebate_Lookup[SKU CODE],Rebate_Lookup[MOQ_3])=0,
H20&gt;=_xlfn.XLOOKUP(A20,Rebate_Lookup[SKU CODE],Rebate_Lookup[MOQ_2])
),
2,
IF(
AND(
H20&gt;=_xlfn.XLOOKUP(A20,Rebate_Lookup[SKU CODE],Rebate_Lookup[MOQ_1]),
H20&lt;_xlfn.XLOOKUP(A20,Rebate_Lookup[SKU CODE],Rebate_Lookup[MOQ_2])
),
1,
IF(
AND(
H20&gt;=_xlfn.XLOOKUP(A20,Rebate_Lookup[SKU CODE],Rebate_Lookup[MOQ_2]),
OR(
_xlfn.XLOOKUP(A20,Rebate_Lookup[SKU CODE],Rebate_Lookup[MOQ_3])=0,
H20&lt;_xlfn.XLOOKUP(A20,Rebate_Lookup[SKU CODE],Rebate_Lookup[MOQ_3])
)
),
2,
IF(
OR(
AND(
_xlfn.XLOOKUP(A20,Rebate_Lookup[SKU CODE],Rebate_Lookup[MOQ_4])=0,
H20&gt;=_xlfn.XLOOKUP(A20,Rebate_Lookup[SKU CODE],Rebate_Lookup[MOQ_3])
),
AND(
_xlfn.XLOOKUP(A20,Rebate_Lookup[SKU CODE],Rebate_Lookup[MOQ_4])&gt;0,
H20&gt;=_xlfn.XLOOKUP(A20,Rebate_Lookup[SKU CODE],Rebate_Lookup[MOQ_3]),
H20&lt;_xlfn.XLOOKUP(A20,Rebate_Lookup[SKU CODE],Rebate_Lookup[MOQ_4])
)
),
3,
IF(
AND(
_xlfn.XLOOKUP(A20,Rebate_Lookup[SKU CODE],Rebate_Lookup[MOQ_4])&gt;0,
H20&gt;=_xlfn.XLOOKUP(A20,Rebate_Lookup[SKU CODE],Rebate_Lookup[MOQ_4])
),
4,
1
)
)
)
)
)
)),
PRICING[Standard Use Rate (oz/M)]
),
2
))</f>
        <v>0.23</v>
      </c>
      <c r="U20" s="43">
        <f t="shared" si="15"/>
        <v>10.02</v>
      </c>
      <c r="V20" s="43" t="str">
        <f>IF(AND(TRIM(U20)&lt;&gt;"",TRIM(H20)&lt;&gt;""),ROUND(H20*INDEX(PRICING[Package Ounces],MATCH(A20,PRICING[SKU],0))/U20,2),"")</f>
        <v/>
      </c>
      <c r="W20" s="249">
        <f t="shared" si="9"/>
        <v>0</v>
      </c>
      <c r="X20" s="250">
        <f t="shared" si="10"/>
        <v>0</v>
      </c>
    </row>
    <row r="21" spans="1:24" ht="18.5" customHeight="1" x14ac:dyDescent="0.2">
      <c r="A21" s="255">
        <v>11008589</v>
      </c>
      <c r="B21" s="254" t="b">
        <f t="shared" si="8"/>
        <v>0</v>
      </c>
      <c r="D21" s="75" t="str" cm="1">
        <f t="array" ref="D21">IFERROR(
    _xlfn.TEXTJOIN(
        "; ",
        TRUE,
        _xlfn._xlws.FILTER(
            TEXT(PRICING[Rebate $],"$#,##0.00") &amp;
            " off on " &amp;
            IF(
                (PRICING[Min Qty]="") + (PRICING[Min Qty]=0),
                "1 unit",
                PRICING[Min Qty] &amp; " units"
            ),
            (PRICING[SKU]=$A21) *
            (PRICING[Rebate $]&lt;&gt;"") *
            (PRICING[Rebate $]&lt;&gt;0)
        )
    ),
    "n/a"
)</f>
        <v>$24.00 off on 1-3 units; $58.00 off on 4+ units</v>
      </c>
      <c r="E21" s="44" t="str">
        <f>_xlfn.XLOOKUP(A21, PRICING[SKU], PRICING[Product], "")</f>
        <v>Dismiss® NXT Herbicide</v>
      </c>
      <c r="F21" s="45" t="str">
        <f>_xlfn.XLOOKUP(A21, PRICING[SKU], PRICING[Size], "")</f>
        <v>60 oz</v>
      </c>
      <c r="G21" s="37" t="str">
        <f>IF(_xlfn.XLOOKUP(A21,PRICING[SKU],PRICING[Indication])="I","Insecticide",
 IF(_xlfn.XLOOKUP(A21,PRICING[SKU],PRICING[Indication])="H","Herbicide",
 IF(_xlfn.XLOOKUP(A21,PRICING[SKU],PRICING[Indication])="F","Fungicide",
 IF(_xlfn.XLOOKUP(A21,PRICING[SKU],PRICING[Indication])="PGR","PGR",""))))</f>
        <v>Herbicide</v>
      </c>
      <c r="H21" s="46"/>
      <c r="I21" s="38">
        <f>INDEX(PRICING[2026 In-Season Price],MATCH(A21,PRICING[SKU],0))</f>
        <v>528</v>
      </c>
      <c r="J21" s="39" t="str">
        <f t="shared" si="11"/>
        <v/>
      </c>
      <c r="K21" s="39">
        <f>INDEX(PRICING[NOW Price],MATCH(A21,PRICING[SKU],0))</f>
        <v>512.4</v>
      </c>
      <c r="L21" s="39" t="str">
        <f t="shared" si="12"/>
        <v/>
      </c>
      <c r="M21" s="40">
        <f>INDEX(Rebate_Lookup[Instances],MATCH(A21,Rebate_Lookup[SKU CODE],0))</f>
        <v>2</v>
      </c>
      <c r="N21" s="40" t="str">
        <f>IF(H21="","",INDEX(Rebate_Lookup[Qualified Rebate Tier],MATCH(A21,Rebate_Lookup[SKU CODE],0)))</f>
        <v/>
      </c>
      <c r="O21" s="39" t="str">
        <f>IF(OR(H21="",N21=""),"",
IF(N21=1,INDEX(Rebate_Lookup[REB_MOQ_1],MATCH(A21,Rebate_Lookup[SKU CODE],0)),
IF(N21=2,INDEX(Rebate_Lookup[REB_MOQ_2],MATCH(A21,Rebate_Lookup[SKU CODE],0)),
IF(N21=3,INDEX(Rebate_Lookup[REB_MOQ_3],MATCH(A21,Rebate_Lookup[SKU CODE],0)),
IF(N21=4,INDEX(Rebate_Lookup[REB_MOQ_4],MATCH(A21,Rebate_Lookup[SKU CODE],0)),
"#err")))))</f>
        <v/>
      </c>
      <c r="P21" s="41" t="str">
        <f>IF(L41&gt;5000,IF(OR(O21=0,O21=""),"",ROUND(H21*O21,2)),"")</f>
        <v/>
      </c>
      <c r="Q21" s="41" t="str">
        <f>IF(
    H21&gt;0,
    IF(
        ISNUMBER(SEARCH("*Specticle**FLO*",E21)),
        IF(
            AND(_xlfn.XLOOKUP(A21,PRICING[SKU],PRICING[October Bonus],FALSE),$R$10="YES"),
            ROUND(L21*$G$86,2),
            "N/A"
        ),
        IFERROR(IF(_xlfn.XLOOKUP(A21,PRICING[SKU],PRICING[October Bonus],FALSE),ROUND(L21*SUM($G$83:$G$86),2),ROUND(L21*SUM($G$83:$G$85),2)),"")
    ),
    ""
)</f>
        <v/>
      </c>
      <c r="R21" s="39" t="str">
        <f t="shared" si="13"/>
        <v/>
      </c>
      <c r="S21" s="42" t="str">
        <f t="shared" si="14"/>
        <v/>
      </c>
      <c r="T21" s="271" cm="1">
        <f t="array" ref="T21">IF(OR(H21="",H21=0),
ROUND(_xlfn.XLOOKUP(1,(PRICING[SKU]=A21)*(PRICING[Set]=1),PRICING[Standard Use Rate (oz/M)]),2),ROUND(
_xlfn.XLOOKUP(
1,
(PRICING[SKU]=A21)*
(PRICING[Set]=IF(
_xlfn.XLOOKUP(A21,Rebate_Lookup[SKU CODE],Rebate_Lookup[MOQ_2])=0,
1,
IF(
AND(
_xlfn.XLOOKUP(A21,Rebate_Lookup[SKU CODE],Rebate_Lookup[MOQ_3])=0,
H21&gt;=_xlfn.XLOOKUP(A21,Rebate_Lookup[SKU CODE],Rebate_Lookup[MOQ_2])
),
2,
IF(
AND(
H21&gt;=_xlfn.XLOOKUP(A21,Rebate_Lookup[SKU CODE],Rebate_Lookup[MOQ_1]),
H21&lt;_xlfn.XLOOKUP(A21,Rebate_Lookup[SKU CODE],Rebate_Lookup[MOQ_2])
),
1,
IF(
AND(
H21&gt;=_xlfn.XLOOKUP(A21,Rebate_Lookup[SKU CODE],Rebate_Lookup[MOQ_2]),
OR(
_xlfn.XLOOKUP(A21,Rebate_Lookup[SKU CODE],Rebate_Lookup[MOQ_3])=0,
H21&lt;_xlfn.XLOOKUP(A21,Rebate_Lookup[SKU CODE],Rebate_Lookup[MOQ_3])
)
),
2,
IF(
OR(
AND(
_xlfn.XLOOKUP(A21,Rebate_Lookup[SKU CODE],Rebate_Lookup[MOQ_4])=0,
H21&gt;=_xlfn.XLOOKUP(A21,Rebate_Lookup[SKU CODE],Rebate_Lookup[MOQ_3])
),
AND(
_xlfn.XLOOKUP(A21,Rebate_Lookup[SKU CODE],Rebate_Lookup[MOQ_4])&gt;0,
H21&gt;=_xlfn.XLOOKUP(A21,Rebate_Lookup[SKU CODE],Rebate_Lookup[MOQ_3]),
H21&lt;_xlfn.XLOOKUP(A21,Rebate_Lookup[SKU CODE],Rebate_Lookup[MOQ_4])
)
),
3,
IF(
AND(
_xlfn.XLOOKUP(A21,Rebate_Lookup[SKU CODE],Rebate_Lookup[MOQ_4])&gt;0,
H21&gt;=_xlfn.XLOOKUP(A21,Rebate_Lookup[SKU CODE],Rebate_Lookup[MOQ_4])
),
4,
1
)
)
)
)
)
)),
PRICING[Standard Use Rate (oz/M)]
),
2
))</f>
        <v>0.23</v>
      </c>
      <c r="U21" s="43">
        <f t="shared" si="15"/>
        <v>10.02</v>
      </c>
      <c r="V21" s="43" t="str">
        <f>IF(AND(TRIM(U21)&lt;&gt;"",TRIM(H21)&lt;&gt;""),ROUND(H21*INDEX(PRICING[Package Ounces],MATCH(A21,PRICING[SKU],0))/U21,2),"")</f>
        <v/>
      </c>
      <c r="W21" s="249">
        <f t="shared" si="9"/>
        <v>0</v>
      </c>
      <c r="X21" s="250">
        <f t="shared" si="10"/>
        <v>0</v>
      </c>
    </row>
    <row r="22" spans="1:24" ht="18.5" customHeight="1" x14ac:dyDescent="0.2">
      <c r="A22" s="253">
        <v>11015390</v>
      </c>
      <c r="B22" s="254" t="b">
        <f t="shared" si="8"/>
        <v>0</v>
      </c>
      <c r="D22" s="75" t="str" cm="1">
        <f t="array" ref="D22">IFERROR(
    _xlfn.TEXTJOIN(
        "; ",
        TRUE,
        _xlfn._xlws.FILTER(
            TEXT(PRICING[Rebate $],"$#,##0.00") &amp;
            " off on " &amp;
            IF(
                (PRICING[Min Qty]="") + (PRICING[Min Qty]=0),
                "1 unit",
                PRICING[Min Qty] &amp; " units"
            ),
            (PRICING[SKU]=$A22) *
            (PRICING[Rebate $]&lt;&gt;"") *
            (PRICING[Rebate $]&lt;&gt;0)
        )
    ),
    "n/a"
)</f>
        <v>$185.00 off on 4+ units</v>
      </c>
      <c r="E22" s="44" t="str">
        <f>_xlfn.XLOOKUP(A22, PRICING[SKU], PRICING[Product], "")</f>
        <v xml:space="preserve">Durentis® Insecticide  </v>
      </c>
      <c r="F22" s="45" t="str">
        <f>_xlfn.XLOOKUP(A22, PRICING[SKU], PRICING[Size], "")</f>
        <v>16 oz</v>
      </c>
      <c r="G22" s="37" t="str">
        <f>IF(_xlfn.XLOOKUP(A22,PRICING[SKU],PRICING[Indication])="I","Insecticide",
 IF(_xlfn.XLOOKUP(A22,PRICING[SKU],PRICING[Indication])="H","Herbicide",
 IF(_xlfn.XLOOKUP(A22,PRICING[SKU],PRICING[Indication])="F","Fungicide",
 IF(_xlfn.XLOOKUP(A22,PRICING[SKU],PRICING[Indication])="PGR","PGR",""))))</f>
        <v>Insecticide</v>
      </c>
      <c r="H22" s="46"/>
      <c r="I22" s="38">
        <f>INDEX(PRICING[2026 In-Season Price],MATCH(A22,PRICING[SKU],0))</f>
        <v>658.72</v>
      </c>
      <c r="J22" s="39" t="str">
        <f t="shared" si="11"/>
        <v/>
      </c>
      <c r="K22" s="39">
        <f>INDEX(PRICING[NOW Price],MATCH(A22,PRICING[SKU],0))</f>
        <v>560.64</v>
      </c>
      <c r="L22" s="39" t="str">
        <f t="shared" si="12"/>
        <v/>
      </c>
      <c r="M22" s="40">
        <f>INDEX(Rebate_Lookup[Instances],MATCH(A22,Rebate_Lookup[SKU CODE],0))</f>
        <v>2</v>
      </c>
      <c r="N22" s="40" t="str">
        <f>IF(H22="","",INDEX(Rebate_Lookup[Qualified Rebate Tier],MATCH(A22,Rebate_Lookup[SKU CODE],0)))</f>
        <v/>
      </c>
      <c r="O22" s="39" t="str">
        <f>IF(OR(H22="",N22=""),"",
IF(N22=1,INDEX(Rebate_Lookup[REB_MOQ_1],MATCH(A22,Rebate_Lookup[SKU CODE],0)),
IF(N22=2,INDEX(Rebate_Lookup[REB_MOQ_2],MATCH(A22,Rebate_Lookup[SKU CODE],0)),
IF(N22=3,INDEX(Rebate_Lookup[REB_MOQ_3],MATCH(A22,Rebate_Lookup[SKU CODE],0)),
IF(N22=4,INDEX(Rebate_Lookup[REB_MOQ_4],MATCH(A22,Rebate_Lookup[SKU CODE],0)),
"#err")))))</f>
        <v/>
      </c>
      <c r="P22" s="41" t="str">
        <f>IF(L41&gt;5000,IF(OR(O22=0,O22=""),"",ROUND(H22*O22,2)),"")</f>
        <v/>
      </c>
      <c r="Q22" s="41" t="str">
        <f>IF(
    H22&gt;0,
    IF(
        ISNUMBER(SEARCH("*Specticle**FLO*",E22)),
        IF(
            AND(_xlfn.XLOOKUP(A22,PRICING[SKU],PRICING[October Bonus],FALSE),$R$10="YES"),
            ROUND(L22*$G$86,2),
            "N/A"
        ),
        IFERROR(IF(_xlfn.XLOOKUP(A22,PRICING[SKU],PRICING[October Bonus],FALSE),ROUND(L22*SUM($G$83:$G$86),2),ROUND(L22*SUM($G$83:$G$85),2)),"")
    ),
    ""
)</f>
        <v/>
      </c>
      <c r="R22" s="39" t="str">
        <f t="shared" si="13"/>
        <v/>
      </c>
      <c r="S22" s="42" t="str">
        <f t="shared" si="14"/>
        <v/>
      </c>
      <c r="T22" s="271" cm="1">
        <f t="array" ref="T22">IF(OR(H22="",H22=0),
ROUND(_xlfn.XLOOKUP(1,(PRICING[SKU]=A22)*(PRICING[Set]=1),PRICING[Standard Use Rate (oz/M)]),2),ROUND(
_xlfn.XLOOKUP(
1,
(PRICING[SKU]=A22)*
(PRICING[Set]=IF(
_xlfn.XLOOKUP(A22,Rebate_Lookup[SKU CODE],Rebate_Lookup[MOQ_2])=0,
1,
IF(
AND(
_xlfn.XLOOKUP(A22,Rebate_Lookup[SKU CODE],Rebate_Lookup[MOQ_3])=0,
H22&gt;=_xlfn.XLOOKUP(A22,Rebate_Lookup[SKU CODE],Rebate_Lookup[MOQ_2])
),
2,
IF(
AND(
H22&gt;=_xlfn.XLOOKUP(A22,Rebate_Lookup[SKU CODE],Rebate_Lookup[MOQ_1]),
H22&lt;_xlfn.XLOOKUP(A22,Rebate_Lookup[SKU CODE],Rebate_Lookup[MOQ_2])
),
1,
IF(
AND(
H22&gt;=_xlfn.XLOOKUP(A22,Rebate_Lookup[SKU CODE],Rebate_Lookup[MOQ_2]),
OR(
_xlfn.XLOOKUP(A22,Rebate_Lookup[SKU CODE],Rebate_Lookup[MOQ_3])=0,
H22&lt;_xlfn.XLOOKUP(A22,Rebate_Lookup[SKU CODE],Rebate_Lookup[MOQ_3])
)
),
2,
IF(
OR(
AND(
_xlfn.XLOOKUP(A22,Rebate_Lookup[SKU CODE],Rebate_Lookup[MOQ_4])=0,
H22&gt;=_xlfn.XLOOKUP(A22,Rebate_Lookup[SKU CODE],Rebate_Lookup[MOQ_3])
),
AND(
_xlfn.XLOOKUP(A22,Rebate_Lookup[SKU CODE],Rebate_Lookup[MOQ_4])&gt;0,
H22&gt;=_xlfn.XLOOKUP(A22,Rebate_Lookup[SKU CODE],Rebate_Lookup[MOQ_3]),
H22&lt;_xlfn.XLOOKUP(A22,Rebate_Lookup[SKU CODE],Rebate_Lookup[MOQ_4])
)
),
3,
IF(
AND(
_xlfn.XLOOKUP(A22,Rebate_Lookup[SKU CODE],Rebate_Lookup[MOQ_4])&gt;0,
H22&gt;=_xlfn.XLOOKUP(A22,Rebate_Lookup[SKU CODE],Rebate_Lookup[MOQ_4])
),
4,
1
)
)
)
)
)
)),
PRICING[Standard Use Rate (oz/M)]
),
2
))</f>
        <v>0.06</v>
      </c>
      <c r="U22" s="43">
        <f t="shared" si="15"/>
        <v>2.61</v>
      </c>
      <c r="V22" s="43" t="str">
        <f>IF(AND(TRIM(U22)&lt;&gt;"",TRIM(H22)&lt;&gt;""),ROUND(H22*INDEX(PRICING[Package Ounces],MATCH(A22,PRICING[SKU],0))/U22,2),"")</f>
        <v/>
      </c>
      <c r="W22" s="249">
        <f t="shared" si="9"/>
        <v>0</v>
      </c>
      <c r="X22" s="250">
        <f t="shared" si="10"/>
        <v>0</v>
      </c>
    </row>
    <row r="23" spans="1:24" ht="18.5" customHeight="1" x14ac:dyDescent="0.2">
      <c r="A23" s="255">
        <v>11015391</v>
      </c>
      <c r="B23" s="254" t="b">
        <f t="shared" si="8"/>
        <v>0</v>
      </c>
      <c r="D23" s="75" t="str" cm="1">
        <f t="array" ref="D23">IFERROR(
    _xlfn.TEXTJOIN(
        "; ",
        TRUE,
        _xlfn._xlws.FILTER(
            TEXT(PRICING[Rebate $],"$#,##0.00") &amp;
            " off on " &amp;
            IF(
                (PRICING[Min Qty]="") + (PRICING[Min Qty]=0),
                "1 unit",
                PRICING[Min Qty] &amp; " units"
            ),
            (PRICING[SKU]=$A23) *
            (PRICING[Rebate $]&lt;&gt;"") *
            (PRICING[Rebate $]&lt;&gt;0)
        )
    ),
    "n/a"
)</f>
        <v>$482.00 off on 2-3 units; $650.00 off on 4+ units</v>
      </c>
      <c r="E23" s="44" t="str">
        <f>_xlfn.XLOOKUP(A23, PRICING[SKU], PRICING[Product], "")</f>
        <v xml:space="preserve">Durentis® Insecticide  </v>
      </c>
      <c r="F23" s="45" t="str">
        <f>_xlfn.XLOOKUP(A23, PRICING[SKU], PRICING[Size], "")</f>
        <v>64 oz</v>
      </c>
      <c r="G23" s="37" t="str">
        <f>IF(_xlfn.XLOOKUP(A23,PRICING[SKU],PRICING[Indication])="I","Insecticide",
 IF(_xlfn.XLOOKUP(A23,PRICING[SKU],PRICING[Indication])="H","Herbicide",
 IF(_xlfn.XLOOKUP(A23,PRICING[SKU],PRICING[Indication])="F","Fungicide",
 IF(_xlfn.XLOOKUP(A23,PRICING[SKU],PRICING[Indication])="PGR","PGR",""))))</f>
        <v>Insecticide</v>
      </c>
      <c r="H23" s="46"/>
      <c r="I23" s="38">
        <f>INDEX(PRICING[2026 In-Season Price],MATCH(A23,PRICING[SKU],0))</f>
        <v>2470.4</v>
      </c>
      <c r="J23" s="39" t="str">
        <f t="shared" si="11"/>
        <v/>
      </c>
      <c r="K23" s="39">
        <f>INDEX(PRICING[NOW Price],MATCH(A23,PRICING[SKU],0))</f>
        <v>2100.48</v>
      </c>
      <c r="L23" s="39" t="str">
        <f t="shared" si="12"/>
        <v/>
      </c>
      <c r="M23" s="40">
        <f>INDEX(Rebate_Lookup[Instances],MATCH(A23,Rebate_Lookup[SKU CODE],0))</f>
        <v>3</v>
      </c>
      <c r="N23" s="40" t="str">
        <f>IF(H23="","",INDEX(Rebate_Lookup[Qualified Rebate Tier],MATCH(A23,Rebate_Lookup[SKU CODE],0)))</f>
        <v/>
      </c>
      <c r="O23" s="39" t="str">
        <f>IF(OR(H23="",N23=""),"",
IF(N23=1,INDEX(Rebate_Lookup[REB_MOQ_1],MATCH(A23,Rebate_Lookup[SKU CODE],0)),
IF(N23=2,INDEX(Rebate_Lookup[REB_MOQ_2],MATCH(A23,Rebate_Lookup[SKU CODE],0)),
IF(N23=3,INDEX(Rebate_Lookup[REB_MOQ_3],MATCH(A23,Rebate_Lookup[SKU CODE],0)),
IF(N23=4,INDEX(Rebate_Lookup[REB_MOQ_4],MATCH(A23,Rebate_Lookup[SKU CODE],0)),
"#err")))))</f>
        <v/>
      </c>
      <c r="P23" s="41" t="str">
        <f>IF(L41&gt;5000,IF(OR(O23=0,O23=""),"",ROUND(H23*O23,2)),"")</f>
        <v/>
      </c>
      <c r="Q23" s="41" t="str">
        <f>IF(
    H23&gt;0,
    IF(
        ISNUMBER(SEARCH("*Specticle**FLO*",E23)),
        IF(
            AND(_xlfn.XLOOKUP(A23,PRICING[SKU],PRICING[October Bonus],FALSE),$R$10="YES"),
            ROUND(L23*$G$86,2),
            "N/A"
        ),
        IFERROR(IF(_xlfn.XLOOKUP(A23,PRICING[SKU],PRICING[October Bonus],FALSE),ROUND(L23*SUM($G$83:$G$86),2),ROUND(L23*SUM($G$83:$G$85),2)),"")
    ),
    ""
)</f>
        <v/>
      </c>
      <c r="R23" s="39" t="str">
        <f t="shared" si="13"/>
        <v/>
      </c>
      <c r="S23" s="42" t="str">
        <f t="shared" si="14"/>
        <v/>
      </c>
      <c r="T23" s="271" cm="1">
        <f t="array" ref="T23">IF(OR(H23="",H23=0),
ROUND(_xlfn.XLOOKUP(1,(PRICING[SKU]=A23)*(PRICING[Set]=1),PRICING[Standard Use Rate (oz/M)]),2),ROUND(
_xlfn.XLOOKUP(
1,
(PRICING[SKU]=A23)*
(PRICING[Set]=IF(
_xlfn.XLOOKUP(A23,Rebate_Lookup[SKU CODE],Rebate_Lookup[MOQ_2])=0,
1,
IF(
AND(
_xlfn.XLOOKUP(A23,Rebate_Lookup[SKU CODE],Rebate_Lookup[MOQ_3])=0,
H23&gt;=_xlfn.XLOOKUP(A23,Rebate_Lookup[SKU CODE],Rebate_Lookup[MOQ_2])
),
2,
IF(
AND(
H23&gt;=_xlfn.XLOOKUP(A23,Rebate_Lookup[SKU CODE],Rebate_Lookup[MOQ_1]),
H23&lt;_xlfn.XLOOKUP(A23,Rebate_Lookup[SKU CODE],Rebate_Lookup[MOQ_2])
),
1,
IF(
AND(
H23&gt;=_xlfn.XLOOKUP(A23,Rebate_Lookup[SKU CODE],Rebate_Lookup[MOQ_2]),
OR(
_xlfn.XLOOKUP(A23,Rebate_Lookup[SKU CODE],Rebate_Lookup[MOQ_3])=0,
H23&lt;_xlfn.XLOOKUP(A23,Rebate_Lookup[SKU CODE],Rebate_Lookup[MOQ_3])
)
),
2,
IF(
OR(
AND(
_xlfn.XLOOKUP(A23,Rebate_Lookup[SKU CODE],Rebate_Lookup[MOQ_4])=0,
H23&gt;=_xlfn.XLOOKUP(A23,Rebate_Lookup[SKU CODE],Rebate_Lookup[MOQ_3])
),
AND(
_xlfn.XLOOKUP(A23,Rebate_Lookup[SKU CODE],Rebate_Lookup[MOQ_4])&gt;0,
H23&gt;=_xlfn.XLOOKUP(A23,Rebate_Lookup[SKU CODE],Rebate_Lookup[MOQ_3]),
H23&lt;_xlfn.XLOOKUP(A23,Rebate_Lookup[SKU CODE],Rebate_Lookup[MOQ_4])
)
),
3,
IF(
AND(
_xlfn.XLOOKUP(A23,Rebate_Lookup[SKU CODE],Rebate_Lookup[MOQ_4])&gt;0,
H23&gt;=_xlfn.XLOOKUP(A23,Rebate_Lookup[SKU CODE],Rebate_Lookup[MOQ_4])
),
4,
1
)
)
)
)
)
)),
PRICING[Standard Use Rate (oz/M)]
),
2
))</f>
        <v>0.06</v>
      </c>
      <c r="U23" s="43">
        <f t="shared" si="15"/>
        <v>2.61</v>
      </c>
      <c r="V23" s="43" t="str">
        <f>IF(AND(TRIM(U23)&lt;&gt;"",TRIM(H23)&lt;&gt;""),ROUND(H23*INDEX(PRICING[Package Ounces],MATCH(A23,PRICING[SKU],0))/U23,2),"")</f>
        <v/>
      </c>
      <c r="W23" s="249">
        <f t="shared" si="9"/>
        <v>0</v>
      </c>
      <c r="X23" s="250">
        <f t="shared" si="10"/>
        <v>0</v>
      </c>
    </row>
    <row r="24" spans="1:24" ht="18.5" customHeight="1" x14ac:dyDescent="0.2">
      <c r="A24" s="253">
        <v>11008464</v>
      </c>
      <c r="B24" s="254" t="b">
        <f t="shared" si="8"/>
        <v>0</v>
      </c>
      <c r="D24" s="75" t="str" cm="1">
        <f t="array" ref="D24">IFERROR(
    _xlfn.TEXTJOIN(
        "; ",
        TRUE,
        _xlfn._xlws.FILTER(
            TEXT(PRICING[Rebate $],"$#,##0.00") &amp;
            " off on " &amp;
            IF(
                (PRICING[Min Qty]="") + (PRICING[Min Qty]=0),
                "1 unit",
                PRICING[Min Qty] &amp; " units"
            ),
            (PRICING[SKU]=$A24) *
            (PRICING[Rebate $]&lt;&gt;"") *
            (PRICING[Rebate $]&lt;&gt;0)
        )
    ),
    "n/a"
)</f>
        <v>$47.00 off on 8+ units</v>
      </c>
      <c r="E24" s="44" t="str">
        <f>_xlfn.XLOOKUP(A24, PRICING[SKU], PRICING[Product], "")</f>
        <v>Echelon® 4SC Herbicide</v>
      </c>
      <c r="F24" s="45" t="str">
        <f>_xlfn.XLOOKUP(A24, PRICING[SKU], PRICING[Size], "")</f>
        <v>1 gal</v>
      </c>
      <c r="G24" s="37" t="str">
        <f>IF(_xlfn.XLOOKUP(A24,PRICING[SKU],PRICING[Indication])="I","Insecticide",
 IF(_xlfn.XLOOKUP(A24,PRICING[SKU],PRICING[Indication])="H","Herbicide",
 IF(_xlfn.XLOOKUP(A24,PRICING[SKU],PRICING[Indication])="F","Fungicide",
 IF(_xlfn.XLOOKUP(A24,PRICING[SKU],PRICING[Indication])="PGR","PGR",""))))</f>
        <v>Herbicide</v>
      </c>
      <c r="H24" s="46"/>
      <c r="I24" s="38">
        <f>INDEX(PRICING[2026 In-Season Price],MATCH(A24,PRICING[SKU],0))</f>
        <v>464.64</v>
      </c>
      <c r="J24" s="39" t="str">
        <f t="shared" si="11"/>
        <v/>
      </c>
      <c r="K24" s="39">
        <f>INDEX(PRICING[NOW Price],MATCH(A24,PRICING[SKU],0))</f>
        <v>464.64</v>
      </c>
      <c r="L24" s="39" t="str">
        <f t="shared" si="12"/>
        <v/>
      </c>
      <c r="M24" s="40">
        <f>INDEX(Rebate_Lookup[Instances],MATCH(A24,Rebate_Lookup[SKU CODE],0))</f>
        <v>2</v>
      </c>
      <c r="N24" s="40" t="str">
        <f>IF(H24="","",INDEX(Rebate_Lookup[Qualified Rebate Tier],MATCH(A24,Rebate_Lookup[SKU CODE],0)))</f>
        <v/>
      </c>
      <c r="O24" s="39" t="str">
        <f>IF(OR(H24="",N24=""),"",
IF(N24=1,INDEX(Rebate_Lookup[REB_MOQ_1],MATCH(A24,Rebate_Lookup[SKU CODE],0)),
IF(N24=2,INDEX(Rebate_Lookup[REB_MOQ_2],MATCH(A24,Rebate_Lookup[SKU CODE],0)),
IF(N24=3,INDEX(Rebate_Lookup[REB_MOQ_3],MATCH(A24,Rebate_Lookup[SKU CODE],0)),
IF(N24=4,INDEX(Rebate_Lookup[REB_MOQ_4],MATCH(A24,Rebate_Lookup[SKU CODE],0)),
"#err")))))</f>
        <v/>
      </c>
      <c r="P24" s="41" t="str">
        <f>IF(L41&gt;5000,IF(OR(O24=0,O24=""),"",ROUND(H24*O24,2)),"")</f>
        <v/>
      </c>
      <c r="Q24" s="41" t="str">
        <f>IF(
    H24&gt;0,
    IF(
        ISNUMBER(SEARCH("*Specticle**FLO*",E24)),
        IF(
            AND(_xlfn.XLOOKUP(A24,PRICING[SKU],PRICING[October Bonus],FALSE),$R$10="YES"),
            ROUND(L24*$G$86,2),
            "N/A"
        ),
        IFERROR(IF(_xlfn.XLOOKUP(A24,PRICING[SKU],PRICING[October Bonus],FALSE),ROUND(L24*SUM($G$83:$G$86),2),ROUND(L24*SUM($G$83:$G$85),2)),"")
    ),
    ""
)</f>
        <v/>
      </c>
      <c r="R24" s="39" t="str">
        <f t="shared" si="13"/>
        <v/>
      </c>
      <c r="S24" s="42" t="str">
        <f t="shared" si="14"/>
        <v/>
      </c>
      <c r="T24" s="271" cm="1">
        <f t="array" ref="T24">IF(OR(H24="",H24=0),
ROUND(_xlfn.XLOOKUP(1,(PRICING[SKU]=A24)*(PRICING[Set]=1),PRICING[Standard Use Rate (oz/M)]),2),ROUND(
_xlfn.XLOOKUP(
1,
(PRICING[SKU]=A24)*
(PRICING[Set]=IF(
_xlfn.XLOOKUP(A24,Rebate_Lookup[SKU CODE],Rebate_Lookup[MOQ_2])=0,
1,
IF(
AND(
_xlfn.XLOOKUP(A24,Rebate_Lookup[SKU CODE],Rebate_Lookup[MOQ_3])=0,
H24&gt;=_xlfn.XLOOKUP(A24,Rebate_Lookup[SKU CODE],Rebate_Lookup[MOQ_2])
),
2,
IF(
AND(
H24&gt;=_xlfn.XLOOKUP(A24,Rebate_Lookup[SKU CODE],Rebate_Lookup[MOQ_1]),
H24&lt;_xlfn.XLOOKUP(A24,Rebate_Lookup[SKU CODE],Rebate_Lookup[MOQ_2])
),
1,
IF(
AND(
H24&gt;=_xlfn.XLOOKUP(A24,Rebate_Lookup[SKU CODE],Rebate_Lookup[MOQ_2]),
OR(
_xlfn.XLOOKUP(A24,Rebate_Lookup[SKU CODE],Rebate_Lookup[MOQ_3])=0,
H24&lt;_xlfn.XLOOKUP(A24,Rebate_Lookup[SKU CODE],Rebate_Lookup[MOQ_3])
)
),
2,
IF(
OR(
AND(
_xlfn.XLOOKUP(A24,Rebate_Lookup[SKU CODE],Rebate_Lookup[MOQ_4])=0,
H24&gt;=_xlfn.XLOOKUP(A24,Rebate_Lookup[SKU CODE],Rebate_Lookup[MOQ_3])
),
AND(
_xlfn.XLOOKUP(A24,Rebate_Lookup[SKU CODE],Rebate_Lookup[MOQ_4])&gt;0,
H24&gt;=_xlfn.XLOOKUP(A24,Rebate_Lookup[SKU CODE],Rebate_Lookup[MOQ_3]),
H24&lt;_xlfn.XLOOKUP(A24,Rebate_Lookup[SKU CODE],Rebate_Lookup[MOQ_4])
)
),
3,
IF(
AND(
_xlfn.XLOOKUP(A24,Rebate_Lookup[SKU CODE],Rebate_Lookup[MOQ_4])&gt;0,
H24&gt;=_xlfn.XLOOKUP(A24,Rebate_Lookup[SKU CODE],Rebate_Lookup[MOQ_4])
),
4,
1
)
)
)
)
)
)),
PRICING[Standard Use Rate (oz/M)]
),
2
))</f>
        <v>0.55000000000000004</v>
      </c>
      <c r="U24" s="43">
        <f t="shared" si="15"/>
        <v>23.96</v>
      </c>
      <c r="V24" s="43" t="str">
        <f>IF(AND(TRIM(U24)&lt;&gt;"",TRIM(H24)&lt;&gt;""),ROUND(H24*INDEX(PRICING[Package Ounces],MATCH(A24,PRICING[SKU],0))/U24,2),"")</f>
        <v/>
      </c>
      <c r="W24" s="249">
        <f t="shared" si="9"/>
        <v>0</v>
      </c>
      <c r="X24" s="250">
        <f t="shared" si="10"/>
        <v>0</v>
      </c>
    </row>
    <row r="25" spans="1:24" ht="18.5" customHeight="1" x14ac:dyDescent="0.2">
      <c r="A25" s="255">
        <v>11008557</v>
      </c>
      <c r="B25" s="254" t="b">
        <f t="shared" si="8"/>
        <v>0</v>
      </c>
      <c r="D25" s="75" t="str" cm="1">
        <f t="array" ref="D25">IFERROR(
    _xlfn.TEXTJOIN(
        "; ",
        TRUE,
        _xlfn._xlws.FILTER(
            TEXT(PRICING[Rebate $],"$#,##0.00") &amp;
            " off on " &amp;
            IF(
                (PRICING[Min Qty]="") + (PRICING[Min Qty]=0),
                "1 unit",
                PRICING[Min Qty] &amp; " units"
            ),
            (PRICING[SKU]=$A25) *
            (PRICING[Rebate $]&lt;&gt;"") *
            (PRICING[Rebate $]&lt;&gt;0)
        )
    ),
    "n/a"
)</f>
        <v>$395.00 off on 4+ units</v>
      </c>
      <c r="E25" s="44" t="str">
        <f>_xlfn.XLOOKUP(A25, PRICING[SKU], PRICING[Product], "")</f>
        <v>Fame® SC Fungicide</v>
      </c>
      <c r="F25" s="45" t="str">
        <f>_xlfn.XLOOKUP(A25, PRICING[SKU], PRICING[Size], "")</f>
        <v>64 oz</v>
      </c>
      <c r="G25" s="37" t="str">
        <f>IF(_xlfn.XLOOKUP(A25,PRICING[SKU],PRICING[Indication])="I","Insecticide",
 IF(_xlfn.XLOOKUP(A25,PRICING[SKU],PRICING[Indication])="H","Herbicide",
 IF(_xlfn.XLOOKUP(A25,PRICING[SKU],PRICING[Indication])="F","Fungicide",
 IF(_xlfn.XLOOKUP(A25,PRICING[SKU],PRICING[Indication])="PGR","PGR",""))))</f>
        <v>Fungicide</v>
      </c>
      <c r="H25" s="46"/>
      <c r="I25" s="38">
        <f>INDEX(PRICING[2026 In-Season Price],MATCH(A25,PRICING[SKU],0))</f>
        <v>1652.48</v>
      </c>
      <c r="J25" s="39" t="str">
        <f t="shared" si="11"/>
        <v/>
      </c>
      <c r="K25" s="39">
        <f>INDEX(PRICING[NOW Price],MATCH(A25,PRICING[SKU],0))</f>
        <v>1652.48</v>
      </c>
      <c r="L25" s="39" t="str">
        <f t="shared" si="12"/>
        <v/>
      </c>
      <c r="M25" s="40">
        <f>INDEX(Rebate_Lookup[Instances],MATCH(A25,Rebate_Lookup[SKU CODE],0))</f>
        <v>2</v>
      </c>
      <c r="N25" s="40" t="str">
        <f>IF(H25="","",INDEX(Rebate_Lookup[Qualified Rebate Tier],MATCH(A25,Rebate_Lookup[SKU CODE],0)))</f>
        <v/>
      </c>
      <c r="O25" s="39" t="str">
        <f>IF(OR(H25="",N25=""),"",
IF(N25=1,INDEX(Rebate_Lookup[REB_MOQ_1],MATCH(A25,Rebate_Lookup[SKU CODE],0)),
IF(N25=2,INDEX(Rebate_Lookup[REB_MOQ_2],MATCH(A25,Rebate_Lookup[SKU CODE],0)),
IF(N25=3,INDEX(Rebate_Lookup[REB_MOQ_3],MATCH(A25,Rebate_Lookup[SKU CODE],0)),
IF(N25=4,INDEX(Rebate_Lookup[REB_MOQ_4],MATCH(A25,Rebate_Lookup[SKU CODE],0)),
"#err")))))</f>
        <v/>
      </c>
      <c r="P25" s="41" t="str">
        <f>IF(L41&gt;5000,IF(OR(O25=0,O25=""),"",ROUND(H25*O25,2)),"")</f>
        <v/>
      </c>
      <c r="Q25" s="41" t="str">
        <f>IF(
    H25&gt;0,
    IF(
        ISNUMBER(SEARCH("*Specticle**FLO*",E25)),
        IF(
            AND(_xlfn.XLOOKUP(A25,PRICING[SKU],PRICING[October Bonus],FALSE),$R$10="YES"),
            ROUND(L25*$G$86,2),
            "N/A"
        ),
        IFERROR(IF(_xlfn.XLOOKUP(A25,PRICING[SKU],PRICING[October Bonus],FALSE),ROUND(L25*SUM($G$83:$G$86),2),ROUND(L25*SUM($G$83:$G$85),2)),"")
    ),
    ""
)</f>
        <v/>
      </c>
      <c r="R25" s="39" t="str">
        <f t="shared" si="13"/>
        <v/>
      </c>
      <c r="S25" s="42" t="str">
        <f t="shared" si="14"/>
        <v/>
      </c>
      <c r="T25" s="271" cm="1">
        <f t="array" ref="T25">IF(OR(H25="",H25=0),
ROUND(_xlfn.XLOOKUP(1,(PRICING[SKU]=A25)*(PRICING[Set]=1),PRICING[Standard Use Rate (oz/M)]),2),ROUND(
_xlfn.XLOOKUP(
1,
(PRICING[SKU]=A25)*
(PRICING[Set]=IF(
_xlfn.XLOOKUP(A25,Rebate_Lookup[SKU CODE],Rebate_Lookup[MOQ_2])=0,
1,
IF(
AND(
_xlfn.XLOOKUP(A25,Rebate_Lookup[SKU CODE],Rebate_Lookup[MOQ_3])=0,
H25&gt;=_xlfn.XLOOKUP(A25,Rebate_Lookup[SKU CODE],Rebate_Lookup[MOQ_2])
),
2,
IF(
AND(
H25&gt;=_xlfn.XLOOKUP(A25,Rebate_Lookup[SKU CODE],Rebate_Lookup[MOQ_1]),
H25&lt;_xlfn.XLOOKUP(A25,Rebate_Lookup[SKU CODE],Rebate_Lookup[MOQ_2])
),
1,
IF(
AND(
H25&gt;=_xlfn.XLOOKUP(A25,Rebate_Lookup[SKU CODE],Rebate_Lookup[MOQ_2]),
OR(
_xlfn.XLOOKUP(A25,Rebate_Lookup[SKU CODE],Rebate_Lookup[MOQ_3])=0,
H25&lt;_xlfn.XLOOKUP(A25,Rebate_Lookup[SKU CODE],Rebate_Lookup[MOQ_3])
)
),
2,
IF(
OR(
AND(
_xlfn.XLOOKUP(A25,Rebate_Lookup[SKU CODE],Rebate_Lookup[MOQ_4])=0,
H25&gt;=_xlfn.XLOOKUP(A25,Rebate_Lookup[SKU CODE],Rebate_Lookup[MOQ_3])
),
AND(
_xlfn.XLOOKUP(A25,Rebate_Lookup[SKU CODE],Rebate_Lookup[MOQ_4])&gt;0,
H25&gt;=_xlfn.XLOOKUP(A25,Rebate_Lookup[SKU CODE],Rebate_Lookup[MOQ_3]),
H25&lt;_xlfn.XLOOKUP(A25,Rebate_Lookup[SKU CODE],Rebate_Lookup[MOQ_4])
)
),
3,
IF(
AND(
_xlfn.XLOOKUP(A25,Rebate_Lookup[SKU CODE],Rebate_Lookup[MOQ_4])&gt;0,
H25&gt;=_xlfn.XLOOKUP(A25,Rebate_Lookup[SKU CODE],Rebate_Lookup[MOQ_4])
),
4,
1
)
)
)
)
)
)),
PRICING[Standard Use Rate (oz/M)]
),
2
))</f>
        <v>0.36</v>
      </c>
      <c r="U25" s="43">
        <f t="shared" si="15"/>
        <v>15.68</v>
      </c>
      <c r="V25" s="43" t="str">
        <f>IF(AND(TRIM(U25)&lt;&gt;"",TRIM(H25)&lt;&gt;""),ROUND(H25*INDEX(PRICING[Package Ounces],MATCH(A25,PRICING[SKU],0))/U25,2),"")</f>
        <v/>
      </c>
      <c r="W25" s="249">
        <f t="shared" si="9"/>
        <v>0</v>
      </c>
      <c r="X25" s="250">
        <f t="shared" si="10"/>
        <v>0</v>
      </c>
    </row>
    <row r="26" spans="1:24" ht="18.5" customHeight="1" x14ac:dyDescent="0.2">
      <c r="A26" s="253">
        <v>11009500</v>
      </c>
      <c r="B26" s="254" t="b">
        <f t="shared" si="8"/>
        <v>0</v>
      </c>
      <c r="D26" s="75" t="str" cm="1">
        <f t="array" ref="D26">IFERROR(
    _xlfn.TEXTJOIN(
        "; ",
        TRUE,
        _xlfn._xlws.FILTER(
            TEXT(PRICING[Rebate $],"$#,##0.00") &amp;
            " off on " &amp;
            IF(
                (PRICING[Min Qty]="") + (PRICING[Min Qty]=0),
                "1 unit",
                PRICING[Min Qty] &amp; " units"
            ),
            (PRICING[SKU]=$A26) *
            (PRICING[Rebate $]&lt;&gt;"") *
            (PRICING[Rebate $]&lt;&gt;0)
        )
    ),
    "n/a"
)</f>
        <v>$1,290.00 off on 1-3 units; $1,390.00 off on 4+ units</v>
      </c>
      <c r="E26" s="44" t="str">
        <f>_xlfn.XLOOKUP(A26, PRICING[SKU], PRICING[Product], "")</f>
        <v>Fame® SC Fungicide</v>
      </c>
      <c r="F26" s="45" t="str">
        <f>_xlfn.XLOOKUP(A26, PRICING[SKU], PRICING[Size], "")</f>
        <v>2.5 gal</v>
      </c>
      <c r="G26" s="37" t="str">
        <f>IF(_xlfn.XLOOKUP(A26,PRICING[SKU],PRICING[Indication])="I","Insecticide",
 IF(_xlfn.XLOOKUP(A26,PRICING[SKU],PRICING[Indication])="H","Herbicide",
 IF(_xlfn.XLOOKUP(A26,PRICING[SKU],PRICING[Indication])="F","Fungicide",
 IF(_xlfn.XLOOKUP(A26,PRICING[SKU],PRICING[Indication])="PGR","PGR",""))))</f>
        <v>Fungicide</v>
      </c>
      <c r="H26" s="46"/>
      <c r="I26" s="38">
        <f>INDEX(PRICING[2026 In-Season Price],MATCH(A26,PRICING[SKU],0))</f>
        <v>7462.4</v>
      </c>
      <c r="J26" s="39" t="str">
        <f t="shared" si="11"/>
        <v/>
      </c>
      <c r="K26" s="39">
        <f>INDEX(PRICING[NOW Price],MATCH(A26,PRICING[SKU],0))</f>
        <v>7462.4</v>
      </c>
      <c r="L26" s="39" t="str">
        <f t="shared" si="12"/>
        <v/>
      </c>
      <c r="M26" s="40">
        <f>INDEX(Rebate_Lookup[Instances],MATCH(A26,Rebate_Lookup[SKU CODE],0))</f>
        <v>2</v>
      </c>
      <c r="N26" s="40" t="str">
        <f>IF(H26="","",INDEX(Rebate_Lookup[Qualified Rebate Tier],MATCH(A26,Rebate_Lookup[SKU CODE],0)))</f>
        <v/>
      </c>
      <c r="O26" s="39" t="str">
        <f>IF(OR(H26="",N26=""),"",
IF(N26=1,INDEX(Rebate_Lookup[REB_MOQ_1],MATCH(A26,Rebate_Lookup[SKU CODE],0)),
IF(N26=2,INDEX(Rebate_Lookup[REB_MOQ_2],MATCH(A26,Rebate_Lookup[SKU CODE],0)),
IF(N26=3,INDEX(Rebate_Lookup[REB_MOQ_3],MATCH(A26,Rebate_Lookup[SKU CODE],0)),
IF(N26=4,INDEX(Rebate_Lookup[REB_MOQ_4],MATCH(A26,Rebate_Lookup[SKU CODE],0)),
"#err")))))</f>
        <v/>
      </c>
      <c r="P26" s="41" t="str">
        <f>IF(L41&gt;5000,IF(OR(O26=0,O26=""),"",ROUND(H26*O26,2)),"")</f>
        <v/>
      </c>
      <c r="Q26" s="41" t="str">
        <f>IF(
    H26&gt;0,
    IF(
        ISNUMBER(SEARCH("*Specticle**FLO*",E26)),
        IF(
            AND(_xlfn.XLOOKUP(A26,PRICING[SKU],PRICING[October Bonus],FALSE),$R$10="YES"),
            ROUND(L26*$G$86,2),
            "N/A"
        ),
        IFERROR(IF(_xlfn.XLOOKUP(A26,PRICING[SKU],PRICING[October Bonus],FALSE),ROUND(L26*SUM($G$83:$G$86),2),ROUND(L26*SUM($G$83:$G$85),2)),"")
    ),
    ""
)</f>
        <v/>
      </c>
      <c r="R26" s="39" t="str">
        <f t="shared" si="13"/>
        <v/>
      </c>
      <c r="S26" s="42" t="str">
        <f t="shared" si="14"/>
        <v/>
      </c>
      <c r="T26" s="271" cm="1">
        <f t="array" ref="T26">IF(OR(H26="",H26=0),
ROUND(_xlfn.XLOOKUP(1,(PRICING[SKU]=A26)*(PRICING[Set]=1),PRICING[Standard Use Rate (oz/M)]),2),ROUND(
_xlfn.XLOOKUP(
1,
(PRICING[SKU]=A26)*
(PRICING[Set]=IF(
_xlfn.XLOOKUP(A26,Rebate_Lookup[SKU CODE],Rebate_Lookup[MOQ_2])=0,
1,
IF(
AND(
_xlfn.XLOOKUP(A26,Rebate_Lookup[SKU CODE],Rebate_Lookup[MOQ_3])=0,
H26&gt;=_xlfn.XLOOKUP(A26,Rebate_Lookup[SKU CODE],Rebate_Lookup[MOQ_2])
),
2,
IF(
AND(
H26&gt;=_xlfn.XLOOKUP(A26,Rebate_Lookup[SKU CODE],Rebate_Lookup[MOQ_1]),
H26&lt;_xlfn.XLOOKUP(A26,Rebate_Lookup[SKU CODE],Rebate_Lookup[MOQ_2])
),
1,
IF(
AND(
H26&gt;=_xlfn.XLOOKUP(A26,Rebate_Lookup[SKU CODE],Rebate_Lookup[MOQ_2]),
OR(
_xlfn.XLOOKUP(A26,Rebate_Lookup[SKU CODE],Rebate_Lookup[MOQ_3])=0,
H26&lt;_xlfn.XLOOKUP(A26,Rebate_Lookup[SKU CODE],Rebate_Lookup[MOQ_3])
)
),
2,
IF(
OR(
AND(
_xlfn.XLOOKUP(A26,Rebate_Lookup[SKU CODE],Rebate_Lookup[MOQ_4])=0,
H26&gt;=_xlfn.XLOOKUP(A26,Rebate_Lookup[SKU CODE],Rebate_Lookup[MOQ_3])
),
AND(
_xlfn.XLOOKUP(A26,Rebate_Lookup[SKU CODE],Rebate_Lookup[MOQ_4])&gt;0,
H26&gt;=_xlfn.XLOOKUP(A26,Rebate_Lookup[SKU CODE],Rebate_Lookup[MOQ_3]),
H26&lt;_xlfn.XLOOKUP(A26,Rebate_Lookup[SKU CODE],Rebate_Lookup[MOQ_4])
)
),
3,
IF(
AND(
_xlfn.XLOOKUP(A26,Rebate_Lookup[SKU CODE],Rebate_Lookup[MOQ_4])&gt;0,
H26&gt;=_xlfn.XLOOKUP(A26,Rebate_Lookup[SKU CODE],Rebate_Lookup[MOQ_4])
),
4,
1
)
)
)
)
)
)),
PRICING[Standard Use Rate (oz/M)]
),
2
))</f>
        <v>0.36</v>
      </c>
      <c r="U26" s="43">
        <f t="shared" si="15"/>
        <v>15.68</v>
      </c>
      <c r="V26" s="43" t="str">
        <f>IF(AND(TRIM(U26)&lt;&gt;"",TRIM(H26)&lt;&gt;""),ROUND(H26*INDEX(PRICING[Package Ounces],MATCH(A26,PRICING[SKU],0))/U26,2),"")</f>
        <v/>
      </c>
      <c r="W26" s="249">
        <f t="shared" si="9"/>
        <v>0</v>
      </c>
      <c r="X26" s="250">
        <f t="shared" si="10"/>
        <v>0</v>
      </c>
    </row>
    <row r="27" spans="1:24" ht="18.5" customHeight="1" x14ac:dyDescent="0.2">
      <c r="A27" s="253">
        <v>79545312</v>
      </c>
      <c r="B27" s="254" t="b">
        <f t="shared" si="8"/>
        <v>0</v>
      </c>
      <c r="D27" s="75" t="str" cm="1">
        <f t="array" ref="D27">IFERROR(
    _xlfn.TEXTJOIN(
        "; ",
        TRUE,
        _xlfn._xlws.FILTER(
            TEXT(PRICING[Rebate $],"$#,##0.00") &amp;
            " off on " &amp;
            IF(
                (PRICING[Min Qty]="") + (PRICING[Min Qty]=0),
                "1 unit",
                PRICING[Min Qty] &amp; " units"
            ),
            (PRICING[SKU]=$A27) *
            (PRICING[Rebate $]&lt;&gt;"") *
            (PRICING[Rebate $]&lt;&gt;0)
        )
    ),
    "n/a"
)</f>
        <v>$40.00 off on 1-5 units; $65.00 off on 6+ units</v>
      </c>
      <c r="E27" s="44" t="str">
        <f>_xlfn.XLOOKUP(A27, PRICING[SKU], PRICING[Product], "")</f>
        <v>Revolver®</v>
      </c>
      <c r="F27" s="45" t="str">
        <f>_xlfn.XLOOKUP(A27, PRICING[SKU], PRICING[Size], "")</f>
        <v>87 fl oz</v>
      </c>
      <c r="G27" s="37" t="str">
        <f>IF(_xlfn.XLOOKUP(A27,PRICING[SKU],PRICING[Indication])="I","Insecticide",
 IF(_xlfn.XLOOKUP(A27,PRICING[SKU],PRICING[Indication])="H","Herbicide",
 IF(_xlfn.XLOOKUP(A27,PRICING[SKU],PRICING[Indication])="F","Fungicide",
 IF(_xlfn.XLOOKUP(A27,PRICING[SKU],PRICING[Indication])="PGR","PGR",""))))</f>
        <v>Herbicide</v>
      </c>
      <c r="H27" s="46"/>
      <c r="I27" s="38">
        <f>INDEX(PRICING[2026 In-Season Price],MATCH(A27,PRICING[SKU],0))</f>
        <v>832.59</v>
      </c>
      <c r="J27" s="39" t="str">
        <f t="shared" si="11"/>
        <v/>
      </c>
      <c r="K27" s="39">
        <f>INDEX(PRICING[NOW Price],MATCH(A27,PRICING[SKU],0))</f>
        <v>808.23</v>
      </c>
      <c r="L27" s="39" t="str">
        <f t="shared" si="12"/>
        <v/>
      </c>
      <c r="M27" s="40">
        <f>INDEX(Rebate_Lookup[Instances],MATCH(A27,Rebate_Lookup[SKU CODE],0))</f>
        <v>2</v>
      </c>
      <c r="N27" s="40" t="str">
        <f>IF(H27="","",INDEX(Rebate_Lookup[Qualified Rebate Tier],MATCH(A27,Rebate_Lookup[SKU CODE],0)))</f>
        <v/>
      </c>
      <c r="O27" s="39" t="str">
        <f>IF(OR(H27="",N27=""),"",
IF(N27=1,INDEX(Rebate_Lookup[REB_MOQ_1],MATCH(A27,Rebate_Lookup[SKU CODE],0)),
IF(N27=2,INDEX(Rebate_Lookup[REB_MOQ_2],MATCH(A27,Rebate_Lookup[SKU CODE],0)),
IF(N27=3,INDEX(Rebate_Lookup[REB_MOQ_3],MATCH(A27,Rebate_Lookup[SKU CODE],0)),
IF(N27=4,INDEX(Rebate_Lookup[REB_MOQ_4],MATCH(A27,Rebate_Lookup[SKU CODE],0)),
"#err")))))</f>
        <v/>
      </c>
      <c r="P27" s="41" t="str">
        <f>IF(L41&gt;5000,IF(OR(O27=0,O27=""),"",ROUND(H27*O27,2)),"")</f>
        <v/>
      </c>
      <c r="Q27" s="41" t="str">
        <f>IF(
    H27&gt;0,
    IF(
        ISNUMBER(SEARCH("*Specticle**FLO*",E27)),
        IF(
            AND(_xlfn.XLOOKUP(A27,PRICING[SKU],PRICING[October Bonus],FALSE),$R$10="YES"),
            ROUND(L27*$G$86,2),
            "N/A"
        ),
        IFERROR(IF(_xlfn.XLOOKUP(A27,PRICING[SKU],PRICING[October Bonus],FALSE),ROUND(L27*SUM($G$83:$G$86),2),ROUND(L27*SUM($G$83:$G$85),2)),"")
    ),
    ""
)</f>
        <v/>
      </c>
      <c r="R27" s="39" t="str">
        <f t="shared" si="13"/>
        <v/>
      </c>
      <c r="S27" s="42" t="str">
        <f t="shared" si="14"/>
        <v/>
      </c>
      <c r="T27" s="271" cm="1">
        <f t="array" ref="T27">IF(OR(H27="",H27=0),
ROUND(_xlfn.XLOOKUP(1,(PRICING[SKU]=A27)*(PRICING[Set]=1),PRICING[Standard Use Rate (oz/M)]),2),ROUND(
_xlfn.XLOOKUP(
1,
(PRICING[SKU]=A27)*
(PRICING[Set]=IF(
_xlfn.XLOOKUP(A27,Rebate_Lookup[SKU CODE],Rebate_Lookup[MOQ_2])=0,
1,
IF(
AND(
_xlfn.XLOOKUP(A27,Rebate_Lookup[SKU CODE],Rebate_Lookup[MOQ_3])=0,
H27&gt;=_xlfn.XLOOKUP(A27,Rebate_Lookup[SKU CODE],Rebate_Lookup[MOQ_2])
),
2,
IF(
AND(
H27&gt;=_xlfn.XLOOKUP(A27,Rebate_Lookup[SKU CODE],Rebate_Lookup[MOQ_1]),
H27&lt;_xlfn.XLOOKUP(A27,Rebate_Lookup[SKU CODE],Rebate_Lookup[MOQ_2])
),
1,
IF(
AND(
H27&gt;=_xlfn.XLOOKUP(A27,Rebate_Lookup[SKU CODE],Rebate_Lookup[MOQ_2]),
OR(
_xlfn.XLOOKUP(A27,Rebate_Lookup[SKU CODE],Rebate_Lookup[MOQ_3])=0,
H27&lt;_xlfn.XLOOKUP(A27,Rebate_Lookup[SKU CODE],Rebate_Lookup[MOQ_3])
)
),
2,
IF(
OR(
AND(
_xlfn.XLOOKUP(A27,Rebate_Lookup[SKU CODE],Rebate_Lookup[MOQ_4])=0,
H27&gt;=_xlfn.XLOOKUP(A27,Rebate_Lookup[SKU CODE],Rebate_Lookup[MOQ_3])
),
AND(
_xlfn.XLOOKUP(A27,Rebate_Lookup[SKU CODE],Rebate_Lookup[MOQ_4])&gt;0,
H27&gt;=_xlfn.XLOOKUP(A27,Rebate_Lookup[SKU CODE],Rebate_Lookup[MOQ_3]),
H27&lt;_xlfn.XLOOKUP(A27,Rebate_Lookup[SKU CODE],Rebate_Lookup[MOQ_4])
)
),
3,
IF(
AND(
_xlfn.XLOOKUP(A27,Rebate_Lookup[SKU CODE],Rebate_Lookup[MOQ_4])&gt;0,
H27&gt;=_xlfn.XLOOKUP(A27,Rebate_Lookup[SKU CODE],Rebate_Lookup[MOQ_4])
),
4,
1
)
)
)
)
)
)),
PRICING[Standard Use Rate (oz/M)]
),
2
))</f>
        <v>0.4</v>
      </c>
      <c r="U27" s="43">
        <f t="shared" si="15"/>
        <v>17.420000000000002</v>
      </c>
      <c r="V27" s="43" t="str">
        <f>IF(AND(TRIM(U27)&lt;&gt;"",TRIM(H27)&lt;&gt;""),ROUND(H27*INDEX(PRICING[Package Ounces],MATCH(A27,PRICING[SKU],0))/U27,2),"")</f>
        <v/>
      </c>
      <c r="W27" s="249">
        <f t="shared" si="9"/>
        <v>0</v>
      </c>
      <c r="X27" s="250">
        <f t="shared" si="10"/>
        <v>0</v>
      </c>
    </row>
    <row r="28" spans="1:24" ht="18.5" customHeight="1" x14ac:dyDescent="0.2">
      <c r="A28" s="255">
        <v>11009495</v>
      </c>
      <c r="B28" s="254" t="b">
        <f t="shared" si="8"/>
        <v>0</v>
      </c>
      <c r="D28" s="75" t="str" cm="1">
        <f t="array" ref="D28">IFERROR(
    _xlfn.TEXTJOIN(
        "; ",
        TRUE,
        _xlfn._xlws.FILTER(
            TEXT(PRICING[Rebate $],"$#,##0.00") &amp;
            " off on " &amp;
            IF(
                (PRICING[Min Qty]="") + (PRICING[Min Qty]=0),
                "1 unit",
                PRICING[Min Qty] &amp; " units"
            ),
            (PRICING[SKU]=$A28) *
            (PRICING[Rebate $]&lt;&gt;"") *
            (PRICING[Rebate $]&lt;&gt;0)
        )
    ),
    "n/a"
)</f>
        <v>$1.65 off on 1-7 units; $26.65 off on 8+ units</v>
      </c>
      <c r="E28" s="44" t="str">
        <f>_xlfn.XLOOKUP(A28, PRICING[SKU], PRICING[Product], "")</f>
        <v>Scion® with UVX Technology</v>
      </c>
      <c r="F28" s="45" t="str">
        <f>_xlfn.XLOOKUP(A28, PRICING[SKU], PRICING[Size], "")</f>
        <v>32 oz</v>
      </c>
      <c r="G28" s="37" t="str">
        <f>IF(_xlfn.XLOOKUP(A28,PRICING[SKU],PRICING[Indication])="I","Insecticide",
 IF(_xlfn.XLOOKUP(A28,PRICING[SKU],PRICING[Indication])="H","Herbicide",
 IF(_xlfn.XLOOKUP(A28,PRICING[SKU],PRICING[Indication])="F","Fungicide",
 IF(_xlfn.XLOOKUP(A28,PRICING[SKU],PRICING[Indication])="PGR","PGR",""))))</f>
        <v>Insecticide</v>
      </c>
      <c r="H28" s="46"/>
      <c r="I28" s="38">
        <f>INDEX(PRICING[2026 In-Season Price],MATCH(A28,PRICING[SKU],0))</f>
        <v>164.53</v>
      </c>
      <c r="J28" s="39" t="str">
        <f t="shared" si="11"/>
        <v/>
      </c>
      <c r="K28" s="39">
        <f>INDEX(PRICING[NOW Price],MATCH(A28,PRICING[SKU],0))</f>
        <v>164.53</v>
      </c>
      <c r="L28" s="39" t="str">
        <f t="shared" si="12"/>
        <v/>
      </c>
      <c r="M28" s="40">
        <f>INDEX(Rebate_Lookup[Instances],MATCH(A28,Rebate_Lookup[SKU CODE],0))</f>
        <v>2</v>
      </c>
      <c r="N28" s="40" t="str">
        <f>IF(H28="","",INDEX(Rebate_Lookup[Qualified Rebate Tier],MATCH(A28,Rebate_Lookup[SKU CODE],0)))</f>
        <v/>
      </c>
      <c r="O28" s="39" t="str">
        <f>IF(OR(H28="",N28=""),"",
IF(N28=1,INDEX(Rebate_Lookup[REB_MOQ_1],MATCH(A28,Rebate_Lookup[SKU CODE],0)),
IF(N28=2,INDEX(Rebate_Lookup[REB_MOQ_2],MATCH(A28,Rebate_Lookup[SKU CODE],0)),
IF(N28=3,INDEX(Rebate_Lookup[REB_MOQ_3],MATCH(A28,Rebate_Lookup[SKU CODE],0)),
IF(N28=4,INDEX(Rebate_Lookup[REB_MOQ_4],MATCH(A28,Rebate_Lookup[SKU CODE],0)),
"#err")))))</f>
        <v/>
      </c>
      <c r="P28" s="41" t="str">
        <f>IF(L41&gt;5000,IF(OR(O28=0,O28=""),"",ROUND(H28*O28,2)),"")</f>
        <v/>
      </c>
      <c r="Q28" s="41" t="str">
        <f>IF(
    H28&gt;0,
    IF(
        ISNUMBER(SEARCH("*Specticle**FLO*",E28)),
        IF(
            AND(_xlfn.XLOOKUP(A28,PRICING[SKU],PRICING[October Bonus],FALSE),$R$10="YES"),
            ROUND(L28*$G$86,2),
            "N/A"
        ),
        IFERROR(IF(_xlfn.XLOOKUP(A28,PRICING[SKU],PRICING[October Bonus],FALSE),ROUND(L28*SUM($G$83:$G$86),2),ROUND(L28*SUM($G$83:$G$85),2)),"")
    ),
    ""
)</f>
        <v/>
      </c>
      <c r="R28" s="39" t="str">
        <f t="shared" si="13"/>
        <v/>
      </c>
      <c r="S28" s="42" t="str">
        <f t="shared" si="14"/>
        <v/>
      </c>
      <c r="T28" s="271" cm="1">
        <f t="array" ref="T28">IF(OR(H28="",H28=0),
ROUND(_xlfn.XLOOKUP(1,(PRICING[SKU]=A28)*(PRICING[Set]=1),PRICING[Standard Use Rate (oz/M)]),2),ROUND(
_xlfn.XLOOKUP(
1,
(PRICING[SKU]=A28)*
(PRICING[Set]=IF(
_xlfn.XLOOKUP(A28,Rebate_Lookup[SKU CODE],Rebate_Lookup[MOQ_2])=0,
1,
IF(
AND(
_xlfn.XLOOKUP(A28,Rebate_Lookup[SKU CODE],Rebate_Lookup[MOQ_3])=0,
H28&gt;=_xlfn.XLOOKUP(A28,Rebate_Lookup[SKU CODE],Rebate_Lookup[MOQ_2])
),
2,
IF(
AND(
H28&gt;=_xlfn.XLOOKUP(A28,Rebate_Lookup[SKU CODE],Rebate_Lookup[MOQ_1]),
H28&lt;_xlfn.XLOOKUP(A28,Rebate_Lookup[SKU CODE],Rebate_Lookup[MOQ_2])
),
1,
IF(
AND(
H28&gt;=_xlfn.XLOOKUP(A28,Rebate_Lookup[SKU CODE],Rebate_Lookup[MOQ_2]),
OR(
_xlfn.XLOOKUP(A28,Rebate_Lookup[SKU CODE],Rebate_Lookup[MOQ_3])=0,
H28&lt;_xlfn.XLOOKUP(A28,Rebate_Lookup[SKU CODE],Rebate_Lookup[MOQ_3])
)
),
2,
IF(
OR(
AND(
_xlfn.XLOOKUP(A28,Rebate_Lookup[SKU CODE],Rebate_Lookup[MOQ_4])=0,
H28&gt;=_xlfn.XLOOKUP(A28,Rebate_Lookup[SKU CODE],Rebate_Lookup[MOQ_3])
),
AND(
_xlfn.XLOOKUP(A28,Rebate_Lookup[SKU CODE],Rebate_Lookup[MOQ_4])&gt;0,
H28&gt;=_xlfn.XLOOKUP(A28,Rebate_Lookup[SKU CODE],Rebate_Lookup[MOQ_3]),
H28&lt;_xlfn.XLOOKUP(A28,Rebate_Lookup[SKU CODE],Rebate_Lookup[MOQ_4])
)
),
3,
IF(
AND(
_xlfn.XLOOKUP(A28,Rebate_Lookup[SKU CODE],Rebate_Lookup[MOQ_4])&gt;0,
H28&gt;=_xlfn.XLOOKUP(A28,Rebate_Lookup[SKU CODE],Rebate_Lookup[MOQ_4])
),
4,
1
)
)
)
)
)
)),
PRICING[Standard Use Rate (oz/M)]
),
2
))</f>
        <v>0.65</v>
      </c>
      <c r="U28" s="43">
        <f t="shared" si="15"/>
        <v>28.31</v>
      </c>
      <c r="V28" s="43" t="str">
        <f>IF(AND(TRIM(U28)&lt;&gt;"",TRIM(H28)&lt;&gt;""),ROUND(H28*INDEX(PRICING[Package Ounces],MATCH(A28,PRICING[SKU],0))/U28,2),"")</f>
        <v/>
      </c>
      <c r="W28" s="249">
        <f t="shared" si="9"/>
        <v>0</v>
      </c>
      <c r="X28" s="250">
        <f t="shared" si="10"/>
        <v>0</v>
      </c>
    </row>
    <row r="29" spans="1:24" ht="18.5" customHeight="1" x14ac:dyDescent="0.2">
      <c r="A29" s="253">
        <v>11008522</v>
      </c>
      <c r="B29" s="254" t="b">
        <f t="shared" si="8"/>
        <v>0</v>
      </c>
      <c r="D29" s="75" t="str" cm="1">
        <f t="array" ref="D29">IFERROR(
    _xlfn.TEXTJOIN(
        "; ",
        TRUE,
        _xlfn._xlws.FILTER(
            TEXT(PRICING[Rebate $],"$#,##0.00") &amp;
            " off on " &amp;
            IF(
                (PRICING[Min Qty]="") + (PRICING[Min Qty]=0),
                "1 unit",
                PRICING[Min Qty] &amp; " units"
            ),
            (PRICING[SKU]=$A29) *
            (PRICING[Rebate $]&lt;&gt;"") *
            (PRICING[Rebate $]&lt;&gt;0)
        )
    ),
    "n/a"
)</f>
        <v>$32.00 off on 8+ units</v>
      </c>
      <c r="E29" s="44" t="str">
        <f>_xlfn.XLOOKUP(A29, PRICING[SKU], PRICING[Product], "")</f>
        <v xml:space="preserve">Solitare® Herbicide </v>
      </c>
      <c r="F29" s="45" t="str">
        <f>_xlfn.XLOOKUP(A29, PRICING[SKU], PRICING[Size], "")</f>
        <v>4 lb</v>
      </c>
      <c r="G29" s="37" t="str">
        <f>IF(_xlfn.XLOOKUP(A29,PRICING[SKU],PRICING[Indication])="I","Insecticide",
 IF(_xlfn.XLOOKUP(A29,PRICING[SKU],PRICING[Indication])="H","Herbicide",
 IF(_xlfn.XLOOKUP(A29,PRICING[SKU],PRICING[Indication])="F","Fungicide",
 IF(_xlfn.XLOOKUP(A29,PRICING[SKU],PRICING[Indication])="PGR","PGR",""))))</f>
        <v>Herbicide</v>
      </c>
      <c r="H29" s="46"/>
      <c r="I29" s="38">
        <f>INDEX(PRICING[2026 In-Season Price],MATCH(A29,PRICING[SKU],0))</f>
        <v>611.08000000000004</v>
      </c>
      <c r="J29" s="39" t="str">
        <f t="shared" si="11"/>
        <v/>
      </c>
      <c r="K29" s="39">
        <f>INDEX(PRICING[NOW Price],MATCH(A29,PRICING[SKU],0))</f>
        <v>611.08000000000004</v>
      </c>
      <c r="L29" s="39" t="str">
        <f t="shared" si="12"/>
        <v/>
      </c>
      <c r="M29" s="40">
        <f>INDEX(Rebate_Lookup[Instances],MATCH(A29,Rebate_Lookup[SKU CODE],0))</f>
        <v>2</v>
      </c>
      <c r="N29" s="40" t="str">
        <f>IF(H29="","",INDEX(Rebate_Lookup[Qualified Rebate Tier],MATCH(A29,Rebate_Lookup[SKU CODE],0)))</f>
        <v/>
      </c>
      <c r="O29" s="39" t="str">
        <f>IF(OR(H29="",N29=""),"",
IF(N29=1,INDEX(Rebate_Lookup[REB_MOQ_1],MATCH(A29,Rebate_Lookup[SKU CODE],0)),
IF(N29=2,INDEX(Rebate_Lookup[REB_MOQ_2],MATCH(A29,Rebate_Lookup[SKU CODE],0)),
IF(N29=3,INDEX(Rebate_Lookup[REB_MOQ_3],MATCH(A29,Rebate_Lookup[SKU CODE],0)),
IF(N29=4,INDEX(Rebate_Lookup[REB_MOQ_4],MATCH(A29,Rebate_Lookup[SKU CODE],0)),
"#err")))))</f>
        <v/>
      </c>
      <c r="P29" s="41" t="str">
        <f>IF(L41&gt;5000,IF(OR(O29=0,O29=""),"",ROUND(H29*O29,2)),"")</f>
        <v/>
      </c>
      <c r="Q29" s="41" t="str">
        <f>IF(
    H29&gt;0,
    IF(
        ISNUMBER(SEARCH("*Specticle**FLO*",E29)),
        IF(
            AND(_xlfn.XLOOKUP(A29,PRICING[SKU],PRICING[October Bonus],FALSE),$R$10="YES"),
            ROUND(L29*$G$86,2),
            "N/A"
        ),
        IFERROR(IF(_xlfn.XLOOKUP(A29,PRICING[SKU],PRICING[October Bonus],FALSE),ROUND(L29*SUM($G$83:$G$86),2),ROUND(L29*SUM($G$83:$G$85),2)),"")
    ),
    ""
)</f>
        <v/>
      </c>
      <c r="R29" s="39" t="str">
        <f t="shared" si="13"/>
        <v/>
      </c>
      <c r="S29" s="42" t="str">
        <f t="shared" si="14"/>
        <v/>
      </c>
      <c r="T29" s="271" cm="1">
        <f t="array" ref="T29">IF(OR(H29="",H29=0),
ROUND(_xlfn.XLOOKUP(1,(PRICING[SKU]=A29)*(PRICING[Set]=1),PRICING[Standard Use Rate (oz/M)]),2),ROUND(
_xlfn.XLOOKUP(
1,
(PRICING[SKU]=A29)*
(PRICING[Set]=IF(
_xlfn.XLOOKUP(A29,Rebate_Lookup[SKU CODE],Rebate_Lookup[MOQ_2])=0,
1,
IF(
AND(
_xlfn.XLOOKUP(A29,Rebate_Lookup[SKU CODE],Rebate_Lookup[MOQ_3])=0,
H29&gt;=_xlfn.XLOOKUP(A29,Rebate_Lookup[SKU CODE],Rebate_Lookup[MOQ_2])
),
2,
IF(
AND(
H29&gt;=_xlfn.XLOOKUP(A29,Rebate_Lookup[SKU CODE],Rebate_Lookup[MOQ_1]),
H29&lt;_xlfn.XLOOKUP(A29,Rebate_Lookup[SKU CODE],Rebate_Lookup[MOQ_2])
),
1,
IF(
AND(
H29&gt;=_xlfn.XLOOKUP(A29,Rebate_Lookup[SKU CODE],Rebate_Lookup[MOQ_2]),
OR(
_xlfn.XLOOKUP(A29,Rebate_Lookup[SKU CODE],Rebate_Lookup[MOQ_3])=0,
H29&lt;_xlfn.XLOOKUP(A29,Rebate_Lookup[SKU CODE],Rebate_Lookup[MOQ_3])
)
),
2,
IF(
OR(
AND(
_xlfn.XLOOKUP(A29,Rebate_Lookup[SKU CODE],Rebate_Lookup[MOQ_4])=0,
H29&gt;=_xlfn.XLOOKUP(A29,Rebate_Lookup[SKU CODE],Rebate_Lookup[MOQ_3])
),
AND(
_xlfn.XLOOKUP(A29,Rebate_Lookup[SKU CODE],Rebate_Lookup[MOQ_4])&gt;0,
H29&gt;=_xlfn.XLOOKUP(A29,Rebate_Lookup[SKU CODE],Rebate_Lookup[MOQ_3]),
H29&lt;_xlfn.XLOOKUP(A29,Rebate_Lookup[SKU CODE],Rebate_Lookup[MOQ_4])
)
),
3,
IF(
AND(
_xlfn.XLOOKUP(A29,Rebate_Lookup[SKU CODE],Rebate_Lookup[MOQ_4])&gt;0,
H29&gt;=_xlfn.XLOOKUP(A29,Rebate_Lookup[SKU CODE],Rebate_Lookup[MOQ_4])
),
4,
1
)
)
)
)
)
)),
PRICING[Standard Use Rate (oz/M)]
),
2
))</f>
        <v>2</v>
      </c>
      <c r="U29" s="43">
        <f t="shared" si="15"/>
        <v>87.12</v>
      </c>
      <c r="V29" s="43" t="str">
        <f>IF(AND(TRIM(U29)&lt;&gt;"",TRIM(H29)&lt;&gt;""),ROUND(H29*INDEX(PRICING[Package Ounces],MATCH(A29,PRICING[SKU],0))/U29,2),"")</f>
        <v/>
      </c>
      <c r="W29" s="249">
        <f t="shared" si="9"/>
        <v>0</v>
      </c>
      <c r="X29" s="250">
        <f t="shared" si="10"/>
        <v>0</v>
      </c>
    </row>
    <row r="30" spans="1:24" ht="18.5" customHeight="1" x14ac:dyDescent="0.2">
      <c r="A30" s="255">
        <v>11013862</v>
      </c>
      <c r="B30" s="254" t="b">
        <f t="shared" si="8"/>
        <v>0</v>
      </c>
      <c r="D30" s="75" t="str" cm="1">
        <f t="array" ref="D30">IFERROR(
    _xlfn.TEXTJOIN(
        "; ",
        TRUE,
        _xlfn._xlws.FILTER(
            TEXT(PRICING[Rebate $],"$#,##0.00") &amp;
            " off on " &amp;
            IF(
                (PRICING[Min Qty]="") + (PRICING[Min Qty]=0),
                "1 unit",
                PRICING[Min Qty] &amp; " units"
            ),
            (PRICING[SKU]=$A30) *
            (PRICING[Rebate $]&lt;&gt;"") *
            (PRICING[Rebate $]&lt;&gt;0)
        )
    ),
    "n/a"
)</f>
        <v>$10.00 off on 1+ units</v>
      </c>
      <c r="E30" s="44" t="str">
        <f>_xlfn.XLOOKUP(A30, PRICING[SKU], PRICING[Product], "")</f>
        <v>Solitare® WSL Herbicide</v>
      </c>
      <c r="F30" s="45" t="str">
        <f>_xlfn.XLOOKUP(A30, PRICING[SKU], PRICING[Size], "")</f>
        <v>2.5 gal</v>
      </c>
      <c r="G30" s="37" t="str">
        <f>IF(_xlfn.XLOOKUP(A30,PRICING[SKU],PRICING[Indication])="I","Insecticide",
 IF(_xlfn.XLOOKUP(A30,PRICING[SKU],PRICING[Indication])="H","Herbicide",
 IF(_xlfn.XLOOKUP(A30,PRICING[SKU],PRICING[Indication])="F","Fungicide",
 IF(_xlfn.XLOOKUP(A30,PRICING[SKU],PRICING[Indication])="PGR","PGR",""))))</f>
        <v>Herbicide</v>
      </c>
      <c r="H30" s="46"/>
      <c r="I30" s="38">
        <f>INDEX(PRICING[2026 In-Season Price],MATCH(A30,PRICING[SKU],0))</f>
        <v>268.8</v>
      </c>
      <c r="J30" s="39" t="str">
        <f t="shared" si="11"/>
        <v/>
      </c>
      <c r="K30" s="39">
        <f>INDEX(PRICING[NOW Price],MATCH(A30,PRICING[SKU],0))</f>
        <v>268.8</v>
      </c>
      <c r="L30" s="39" t="str">
        <f t="shared" si="12"/>
        <v/>
      </c>
      <c r="M30" s="40">
        <f>INDEX(Rebate_Lookup[Instances],MATCH(A30,Rebate_Lookup[SKU CODE],0))</f>
        <v>1</v>
      </c>
      <c r="N30" s="40" t="str">
        <f>IF(H30="","",INDEX(Rebate_Lookup[Qualified Rebate Tier],MATCH(A30,Rebate_Lookup[SKU CODE],0)))</f>
        <v/>
      </c>
      <c r="O30" s="39" t="str">
        <f>IF(OR(H30="",N30=""),"",
IF(N30=1,INDEX(Rebate_Lookup[REB_MOQ_1],MATCH(A30,Rebate_Lookup[SKU CODE],0)),
IF(N30=2,INDEX(Rebate_Lookup[REB_MOQ_2],MATCH(A30,Rebate_Lookup[SKU CODE],0)),
IF(N30=3,INDEX(Rebate_Lookup[REB_MOQ_3],MATCH(A30,Rebate_Lookup[SKU CODE],0)),
IF(N30=4,INDEX(Rebate_Lookup[REB_MOQ_4],MATCH(A30,Rebate_Lookup[SKU CODE],0)),
"#err")))))</f>
        <v/>
      </c>
      <c r="P30" s="41" t="str">
        <f>IF(L41&gt;5000,IF(OR(O30=0,O30=""),"",ROUND(H30*O30,2)),"")</f>
        <v/>
      </c>
      <c r="Q30" s="41" t="str">
        <f>IF(
    H30&gt;0,
    IF(
        ISNUMBER(SEARCH("*Specticle**FLO*",E30)),
        IF(
            AND(_xlfn.XLOOKUP(A30,PRICING[SKU],PRICING[October Bonus],FALSE),$R$10="YES"),
            ROUND(L30*$G$86,2),
            "N/A"
        ),
        IFERROR(IF(_xlfn.XLOOKUP(A30,PRICING[SKU],PRICING[October Bonus],FALSE),ROUND(L30*SUM($G$83:$G$86),2),ROUND(L30*SUM($G$83:$G$85),2)),"")
    ),
    ""
)</f>
        <v/>
      </c>
      <c r="R30" s="39" t="str">
        <f t="shared" si="13"/>
        <v/>
      </c>
      <c r="S30" s="42" t="str">
        <f t="shared" si="14"/>
        <v/>
      </c>
      <c r="T30" s="271" cm="1">
        <f t="array" ref="T30">IF(OR(H30="",H30=0),
ROUND(_xlfn.XLOOKUP(1,(PRICING[SKU]=A30)*(PRICING[Set]=1),PRICING[Standard Use Rate (oz/M)]),2),ROUND(
_xlfn.XLOOKUP(
1,
(PRICING[SKU]=A30)*
(PRICING[Set]=IF(
_xlfn.XLOOKUP(A30,Rebate_Lookup[SKU CODE],Rebate_Lookup[MOQ_2])=0,
1,
IF(
AND(
_xlfn.XLOOKUP(A30,Rebate_Lookup[SKU CODE],Rebate_Lookup[MOQ_3])=0,
H30&gt;=_xlfn.XLOOKUP(A30,Rebate_Lookup[SKU CODE],Rebate_Lookup[MOQ_2])
),
2,
IF(
AND(
H30&gt;=_xlfn.XLOOKUP(A30,Rebate_Lookup[SKU CODE],Rebate_Lookup[MOQ_1]),
H30&lt;_xlfn.XLOOKUP(A30,Rebate_Lookup[SKU CODE],Rebate_Lookup[MOQ_2])
),
1,
IF(
AND(
H30&gt;=_xlfn.XLOOKUP(A30,Rebate_Lookup[SKU CODE],Rebate_Lookup[MOQ_2]),
OR(
_xlfn.XLOOKUP(A30,Rebate_Lookup[SKU CODE],Rebate_Lookup[MOQ_3])=0,
H30&lt;_xlfn.XLOOKUP(A30,Rebate_Lookup[SKU CODE],Rebate_Lookup[MOQ_3])
)
),
2,
IF(
OR(
AND(
_xlfn.XLOOKUP(A30,Rebate_Lookup[SKU CODE],Rebate_Lookup[MOQ_4])=0,
H30&gt;=_xlfn.XLOOKUP(A30,Rebate_Lookup[SKU CODE],Rebate_Lookup[MOQ_3])
),
AND(
_xlfn.XLOOKUP(A30,Rebate_Lookup[SKU CODE],Rebate_Lookup[MOQ_4])&gt;0,
H30&gt;=_xlfn.XLOOKUP(A30,Rebate_Lookup[SKU CODE],Rebate_Lookup[MOQ_3]),
H30&lt;_xlfn.XLOOKUP(A30,Rebate_Lookup[SKU CODE],Rebate_Lookup[MOQ_4])
)
),
3,
IF(
AND(
_xlfn.XLOOKUP(A30,Rebate_Lookup[SKU CODE],Rebate_Lookup[MOQ_4])&gt;0,
H30&gt;=_xlfn.XLOOKUP(A30,Rebate_Lookup[SKU CODE],Rebate_Lookup[MOQ_4])
),
4,
1
)
)
)
)
)
)),
PRICING[Standard Use Rate (oz/M)]
),
2
))</f>
        <v>3.97</v>
      </c>
      <c r="U30" s="43">
        <f t="shared" si="15"/>
        <v>172.93</v>
      </c>
      <c r="V30" s="43" t="str">
        <f>IF(AND(TRIM(U30)&lt;&gt;"",TRIM(H30)&lt;&gt;""),ROUND(H30*INDEX(PRICING[Package Ounces],MATCH(A30,PRICING[SKU],0))/U30,2),"")</f>
        <v/>
      </c>
      <c r="W30" s="249">
        <f t="shared" si="9"/>
        <v>0</v>
      </c>
      <c r="X30" s="250">
        <f t="shared" si="10"/>
        <v>0</v>
      </c>
    </row>
    <row r="31" spans="1:24" ht="18.5" customHeight="1" x14ac:dyDescent="0.2">
      <c r="A31" s="253" t="s">
        <v>51</v>
      </c>
      <c r="B31" s="254" t="b">
        <f t="shared" si="8"/>
        <v>0</v>
      </c>
      <c r="D31" s="75" t="str" cm="1">
        <f t="array" ref="D31">IFERROR(
    _xlfn.TEXTJOIN(
        "; ",
        TRUE,
        _xlfn._xlws.FILTER(
            TEXT(PRICING[Rebate $],"$#,##0.00") &amp;
            " off on " &amp;
            IF(
                (PRICING[Min Qty]="") + (PRICING[Min Qty]=0),
                "1 unit",
                PRICING[Min Qty] &amp; " units"
            ),
            (PRICING[SKU]=$A31) *
            (PRICING[Rebate $]&lt;&gt;"") *
            (PRICING[Rebate $]&lt;&gt;0)
        )
    ),
    "n/a"
)</f>
        <v>n/a</v>
      </c>
      <c r="E31" s="44" t="str">
        <f>_xlfn.XLOOKUP(A31, PRICING[SKU], PRICING[Product], "")</f>
        <v xml:space="preserve">Specticle® FLO </v>
      </c>
      <c r="F31" s="45" t="str">
        <f>_xlfn.XLOOKUP(A31, PRICING[SKU], PRICING[Size], "")</f>
        <v>18 oz</v>
      </c>
      <c r="G31" s="37" t="str">
        <f>IF(_xlfn.XLOOKUP(A31,PRICING[SKU],PRICING[Indication])="I","Insecticide",
 IF(_xlfn.XLOOKUP(A31,PRICING[SKU],PRICING[Indication])="H","Herbicide",
 IF(_xlfn.XLOOKUP(A31,PRICING[SKU],PRICING[Indication])="F","Fungicide",
 IF(_xlfn.XLOOKUP(A31,PRICING[SKU],PRICING[Indication])="PGR","PGR",""))))</f>
        <v>Herbicide</v>
      </c>
      <c r="H31" s="46"/>
      <c r="I31" s="38">
        <f>INDEX(PRICING[2026 In-Season Price],MATCH(A31,PRICING[SKU],0))</f>
        <v>340.02</v>
      </c>
      <c r="J31" s="39" t="str">
        <f t="shared" si="11"/>
        <v/>
      </c>
      <c r="K31" s="39">
        <f>INDEX(PRICING[NOW Price],MATCH(A31,PRICING[SKU],0))</f>
        <v>340.02</v>
      </c>
      <c r="L31" s="39" t="str">
        <f t="shared" si="12"/>
        <v/>
      </c>
      <c r="M31" s="40">
        <f>INDEX(Rebate_Lookup[Instances],MATCH(A31,Rebate_Lookup[SKU CODE],0))</f>
        <v>1</v>
      </c>
      <c r="N31" s="40" t="str">
        <f>IF(H31="","",INDEX(Rebate_Lookup[Qualified Rebate Tier],MATCH(A31,Rebate_Lookup[SKU CODE],0)))</f>
        <v/>
      </c>
      <c r="O31" s="39" t="str">
        <f>IF(OR(H31="",N31=""),"",
IF(N31=1,INDEX(Rebate_Lookup[REB_MOQ_1],MATCH(A31,Rebate_Lookup[SKU CODE],0)),
IF(N31=2,INDEX(Rebate_Lookup[REB_MOQ_2],MATCH(A31,Rebate_Lookup[SKU CODE],0)),
IF(N31=3,INDEX(Rebate_Lookup[REB_MOQ_3],MATCH(A31,Rebate_Lookup[SKU CODE],0)),
IF(N31=4,INDEX(Rebate_Lookup[REB_MOQ_4],MATCH(A31,Rebate_Lookup[SKU CODE],0)),
"#err")))))</f>
        <v/>
      </c>
      <c r="P31" s="41" t="str">
        <f>IF(L41&gt;5000,IF(OR(O31=0,O31=""),"",ROUND(H31*O31,2)),"")</f>
        <v/>
      </c>
      <c r="Q31" s="41" t="str">
        <f>IF(
    H31&gt;0,
    IF(
        ISNUMBER(SEARCH("*Specticle**FLO*",E31)),
        IF(
            AND(_xlfn.XLOOKUP(A31,PRICING[SKU],PRICING[October Bonus],FALSE),$R$10="YES"),
            ROUND(L31*$G$86,2),
            "N/A"
        ),
        IFERROR(IF(_xlfn.XLOOKUP(A31,PRICING[SKU],PRICING[October Bonus],FALSE),ROUND(L31*SUM($G$83:$G$86),2),ROUND(L31*SUM($G$83:$G$85),2)),"")
    ),
    ""
)</f>
        <v/>
      </c>
      <c r="R31" s="39" t="str">
        <f t="shared" si="13"/>
        <v/>
      </c>
      <c r="S31" s="42" t="str">
        <f t="shared" si="14"/>
        <v/>
      </c>
      <c r="T31" s="271" cm="1">
        <f t="array" ref="T31">IF(OR(H31="",H31=0),
ROUND(_xlfn.XLOOKUP(1,(PRICING[SKU]=A31)*(PRICING[Set]=1),PRICING[Standard Use Rate (oz/M)]),2),ROUND(
_xlfn.XLOOKUP(
1,
(PRICING[SKU]=A31)*
(PRICING[Set]=IF(
_xlfn.XLOOKUP(A31,Rebate_Lookup[SKU CODE],Rebate_Lookup[MOQ_2])=0,
1,
IF(
AND(
_xlfn.XLOOKUP(A31,Rebate_Lookup[SKU CODE],Rebate_Lookup[MOQ_3])=0,
H31&gt;=_xlfn.XLOOKUP(A31,Rebate_Lookup[SKU CODE],Rebate_Lookup[MOQ_2])
),
2,
IF(
AND(
H31&gt;=_xlfn.XLOOKUP(A31,Rebate_Lookup[SKU CODE],Rebate_Lookup[MOQ_1]),
H31&lt;_xlfn.XLOOKUP(A31,Rebate_Lookup[SKU CODE],Rebate_Lookup[MOQ_2])
),
1,
IF(
AND(
H31&gt;=_xlfn.XLOOKUP(A31,Rebate_Lookup[SKU CODE],Rebate_Lookup[MOQ_2]),
OR(
_xlfn.XLOOKUP(A31,Rebate_Lookup[SKU CODE],Rebate_Lookup[MOQ_3])=0,
H31&lt;_xlfn.XLOOKUP(A31,Rebate_Lookup[SKU CODE],Rebate_Lookup[MOQ_3])
)
),
2,
IF(
OR(
AND(
_xlfn.XLOOKUP(A31,Rebate_Lookup[SKU CODE],Rebate_Lookup[MOQ_4])=0,
H31&gt;=_xlfn.XLOOKUP(A31,Rebate_Lookup[SKU CODE],Rebate_Lookup[MOQ_3])
),
AND(
_xlfn.XLOOKUP(A31,Rebate_Lookup[SKU CODE],Rebate_Lookup[MOQ_4])&gt;0,
H31&gt;=_xlfn.XLOOKUP(A31,Rebate_Lookup[SKU CODE],Rebate_Lookup[MOQ_3]),
H31&lt;_xlfn.XLOOKUP(A31,Rebate_Lookup[SKU CODE],Rebate_Lookup[MOQ_4])
)
),
3,
IF(
AND(
_xlfn.XLOOKUP(A31,Rebate_Lookup[SKU CODE],Rebate_Lookup[MOQ_4])&gt;0,
H31&gt;=_xlfn.XLOOKUP(A31,Rebate_Lookup[SKU CODE],Rebate_Lookup[MOQ_4])
),
4,
1
)
)
)
)
)
)),
PRICING[Standard Use Rate (oz/M)]
),
2
))</f>
        <v>0.14000000000000001</v>
      </c>
      <c r="U31" s="43">
        <f t="shared" si="15"/>
        <v>6.1</v>
      </c>
      <c r="V31" s="43" t="str">
        <f>IF(AND(TRIM(U31)&lt;&gt;"",TRIM(H31)&lt;&gt;""),ROUND(H31*INDEX(PRICING[Package Ounces],MATCH(A31,PRICING[SKU],0))/U31,2),"")</f>
        <v/>
      </c>
      <c r="W31" s="249">
        <f t="shared" si="9"/>
        <v>0</v>
      </c>
      <c r="X31" s="250">
        <f t="shared" si="10"/>
        <v>0</v>
      </c>
    </row>
    <row r="32" spans="1:24" ht="18.5" customHeight="1" x14ac:dyDescent="0.2">
      <c r="A32" s="255" t="s">
        <v>52</v>
      </c>
      <c r="B32" s="254" t="b">
        <f t="shared" si="8"/>
        <v>0</v>
      </c>
      <c r="D32" s="75" t="str" cm="1">
        <f t="array" ref="D32">IFERROR(
    _xlfn.TEXTJOIN(
        "; ",
        TRUE,
        _xlfn._xlws.FILTER(
            TEXT(PRICING[Rebate $],"$#,##0.00") &amp;
            " off on " &amp;
            IF(
                (PRICING[Min Qty]="") + (PRICING[Min Qty]=0),
                "1 unit",
                PRICING[Min Qty] &amp; " units"
            ),
            (PRICING[SKU]=$A32) *
            (PRICING[Rebate $]&lt;&gt;"") *
            (PRICING[Rebate $]&lt;&gt;0)
        )
    ),
    "n/a"
)</f>
        <v>$101.00 off on 1-6 units</v>
      </c>
      <c r="E32" s="44" t="str">
        <f>_xlfn.XLOOKUP(A32, PRICING[SKU], PRICING[Product], "")</f>
        <v xml:space="preserve">Specticle® FLO </v>
      </c>
      <c r="F32" s="45" t="str">
        <f>_xlfn.XLOOKUP(A32, PRICING[SKU], PRICING[Size], "")</f>
        <v>1 gal</v>
      </c>
      <c r="G32" s="37" t="str">
        <f>IF(_xlfn.XLOOKUP(A32,PRICING[SKU],PRICING[Indication])="I","Insecticide",
 IF(_xlfn.XLOOKUP(A32,PRICING[SKU],PRICING[Indication])="H","Herbicide",
 IF(_xlfn.XLOOKUP(A32,PRICING[SKU],PRICING[Indication])="F","Fungicide",
 IF(_xlfn.XLOOKUP(A32,PRICING[SKU],PRICING[Indication])="PGR","PGR",""))))</f>
        <v>Herbicide</v>
      </c>
      <c r="H32" s="46"/>
      <c r="I32" s="38">
        <f>INDEX(PRICING[2026 In-Season Price],MATCH(A32,PRICING[SKU],0))</f>
        <v>2232.3200000000002</v>
      </c>
      <c r="J32" s="39" t="str">
        <f t="shared" si="11"/>
        <v/>
      </c>
      <c r="K32" s="39">
        <f>INDEX(PRICING[NOW Price],MATCH(A32,PRICING[SKU],0))</f>
        <v>2143.0300000000002</v>
      </c>
      <c r="L32" s="39" t="str">
        <f t="shared" si="12"/>
        <v/>
      </c>
      <c r="M32" s="40">
        <f>INDEX(Rebate_Lookup[Instances],MATCH(A32,Rebate_Lookup[SKU CODE],0))</f>
        <v>1</v>
      </c>
      <c r="N32" s="40" t="str">
        <f>IF(H32="","",INDEX(Rebate_Lookup[Qualified Rebate Tier],MATCH(A32,Rebate_Lookup[SKU CODE],0)))</f>
        <v/>
      </c>
      <c r="O32" s="39" t="str">
        <f>IF(OR(H32="",N32=""),"",
IF(N32=1,INDEX(Rebate_Lookup[REB_MOQ_1],MATCH(A32,Rebate_Lookup[SKU CODE],0)),
IF(N32=2,INDEX(Rebate_Lookup[REB_MOQ_2],MATCH(A32,Rebate_Lookup[SKU CODE],0)),
IF(N32=3,INDEX(Rebate_Lookup[REB_MOQ_3],MATCH(A32,Rebate_Lookup[SKU CODE],0)),
IF(N32=4,INDEX(Rebate_Lookup[REB_MOQ_4],MATCH(A32,Rebate_Lookup[SKU CODE],0)),
"#err")))))</f>
        <v/>
      </c>
      <c r="P32" s="41" t="str">
        <f>IF(L41&gt;5000,IF(OR(O32=0,O32=""),"",ROUND(H32*O32,2)),"")</f>
        <v/>
      </c>
      <c r="Q32" s="41" t="str">
        <f>IF(
    H32&gt;0,
    IF(
        ISNUMBER(SEARCH("*Specticle**FLO*",E32)),
        IF(
            AND(_xlfn.XLOOKUP(A32,PRICING[SKU],PRICING[October Bonus],FALSE),$R$10="YES"),
            ROUND(L32*$G$86,2),
            "N/A"
        ),
        IFERROR(IF(_xlfn.XLOOKUP(A32,PRICING[SKU],PRICING[October Bonus],FALSE),ROUND(L32*SUM($G$83:$G$86),2),ROUND(L32*SUM($G$83:$G$85),2)),"")
    ),
    ""
)</f>
        <v/>
      </c>
      <c r="R32" s="39" t="str">
        <f t="shared" si="13"/>
        <v/>
      </c>
      <c r="S32" s="42" t="str">
        <f t="shared" si="14"/>
        <v/>
      </c>
      <c r="T32" s="271" cm="1">
        <f t="array" ref="T32">IF(OR(H32="",H32=0),
ROUND(_xlfn.XLOOKUP(1,(PRICING[SKU]=A32)*(PRICING[Set]=1),PRICING[Standard Use Rate (oz/M)]),2),ROUND(
_xlfn.XLOOKUP(
1,
(PRICING[SKU]=A32)*
(PRICING[Set]=IF(
_xlfn.XLOOKUP(A32,Rebate_Lookup[SKU CODE],Rebate_Lookup[MOQ_2])=0,
1,
IF(
AND(
_xlfn.XLOOKUP(A32,Rebate_Lookup[SKU CODE],Rebate_Lookup[MOQ_3])=0,
H32&gt;=_xlfn.XLOOKUP(A32,Rebate_Lookup[SKU CODE],Rebate_Lookup[MOQ_2])
),
2,
IF(
AND(
H32&gt;=_xlfn.XLOOKUP(A32,Rebate_Lookup[SKU CODE],Rebate_Lookup[MOQ_1]),
H32&lt;_xlfn.XLOOKUP(A32,Rebate_Lookup[SKU CODE],Rebate_Lookup[MOQ_2])
),
1,
IF(
AND(
H32&gt;=_xlfn.XLOOKUP(A32,Rebate_Lookup[SKU CODE],Rebate_Lookup[MOQ_2]),
OR(
_xlfn.XLOOKUP(A32,Rebate_Lookup[SKU CODE],Rebate_Lookup[MOQ_3])=0,
H32&lt;_xlfn.XLOOKUP(A32,Rebate_Lookup[SKU CODE],Rebate_Lookup[MOQ_3])
)
),
2,
IF(
OR(
AND(
_xlfn.XLOOKUP(A32,Rebate_Lookup[SKU CODE],Rebate_Lookup[MOQ_4])=0,
H32&gt;=_xlfn.XLOOKUP(A32,Rebate_Lookup[SKU CODE],Rebate_Lookup[MOQ_3])
),
AND(
_xlfn.XLOOKUP(A32,Rebate_Lookup[SKU CODE],Rebate_Lookup[MOQ_4])&gt;0,
H32&gt;=_xlfn.XLOOKUP(A32,Rebate_Lookup[SKU CODE],Rebate_Lookup[MOQ_3]),
H32&lt;_xlfn.XLOOKUP(A32,Rebate_Lookup[SKU CODE],Rebate_Lookup[MOQ_4])
)
),
3,
IF(
AND(
_xlfn.XLOOKUP(A32,Rebate_Lookup[SKU CODE],Rebate_Lookup[MOQ_4])&gt;0,
H32&gt;=_xlfn.XLOOKUP(A32,Rebate_Lookup[SKU CODE],Rebate_Lookup[MOQ_4])
),
4,
1
)
)
)
)
)
)),
PRICING[Standard Use Rate (oz/M)]
),
2
))</f>
        <v>0.14000000000000001</v>
      </c>
      <c r="U32" s="43">
        <f t="shared" si="15"/>
        <v>6.1</v>
      </c>
      <c r="V32" s="43" t="str">
        <f>IF(AND(TRIM(U32)&lt;&gt;"",TRIM(H32)&lt;&gt;""),ROUND(H32*INDEX(PRICING[Package Ounces],MATCH(A32,PRICING[SKU],0))/U32,2),"")</f>
        <v/>
      </c>
      <c r="W32" s="249">
        <f t="shared" si="9"/>
        <v>0</v>
      </c>
      <c r="X32" s="250">
        <f t="shared" si="10"/>
        <v>0</v>
      </c>
    </row>
    <row r="33" spans="1:58" ht="18.5" customHeight="1" x14ac:dyDescent="0.2">
      <c r="A33" s="253" t="s">
        <v>53</v>
      </c>
      <c r="B33" s="254" t="b">
        <f t="shared" si="8"/>
        <v>0</v>
      </c>
      <c r="D33" s="75" t="str" cm="1">
        <f t="array" ref="D33">IFERROR(
    _xlfn.TEXTJOIN(
        "; ",
        TRUE,
        _xlfn._xlws.FILTER(
            TEXT(PRICING[Rebate $],"$#,##0.00") &amp;
            " off on " &amp;
            IF(
                (PRICING[Min Qty]="") + (PRICING[Min Qty]=0),
                "1 unit",
                PRICING[Min Qty] &amp; " units"
            ),
            (PRICING[SKU]=$A33) *
            (PRICING[Rebate $]&lt;&gt;"") *
            (PRICING[Rebate $]&lt;&gt;0)
        )
    ),
    "n/a"
)</f>
        <v>$115.00 off on 7-13 units</v>
      </c>
      <c r="E33" s="44" t="str">
        <f>_xlfn.XLOOKUP(A33, PRICING[SKU], PRICING[Product], "")</f>
        <v xml:space="preserve">Specticle® FLO </v>
      </c>
      <c r="F33" s="45" t="str">
        <f>_xlfn.XLOOKUP(A33, PRICING[SKU], PRICING[Size], "")</f>
        <v>1 gal</v>
      </c>
      <c r="G33" s="37" t="str">
        <f>IF(_xlfn.XLOOKUP(A33,PRICING[SKU],PRICING[Indication])="I","Insecticide",
 IF(_xlfn.XLOOKUP(A33,PRICING[SKU],PRICING[Indication])="H","Herbicide",
 IF(_xlfn.XLOOKUP(A33,PRICING[SKU],PRICING[Indication])="F","Fungicide",
 IF(_xlfn.XLOOKUP(A33,PRICING[SKU],PRICING[Indication])="PGR","PGR",""))))</f>
        <v>Herbicide</v>
      </c>
      <c r="H33" s="46"/>
      <c r="I33" s="38">
        <f>INDEX(PRICING[2026 In-Season Price],MATCH(A33,PRICING[SKU],0))</f>
        <v>2232.3200000000002</v>
      </c>
      <c r="J33" s="39" t="str">
        <f t="shared" si="11"/>
        <v/>
      </c>
      <c r="K33" s="39">
        <f>INDEX(PRICING[NOW Price],MATCH(A33,PRICING[SKU],0))</f>
        <v>2098.38</v>
      </c>
      <c r="L33" s="39" t="str">
        <f t="shared" si="12"/>
        <v/>
      </c>
      <c r="M33" s="40">
        <f>INDEX(Rebate_Lookup[Instances],MATCH(A33,Rebate_Lookup[SKU CODE],0))</f>
        <v>1</v>
      </c>
      <c r="N33" s="40" t="str">
        <f>IF(H33="","",INDEX(Rebate_Lookup[Qualified Rebate Tier],MATCH(A33,Rebate_Lookup[SKU CODE],0)))</f>
        <v/>
      </c>
      <c r="O33" s="39" t="str">
        <f>IF(OR(H33="",N33=""),"",
IF(N33=1,INDEX(Rebate_Lookup[REB_MOQ_1],MATCH(A33,Rebate_Lookup[SKU CODE],0)),
IF(N33=2,INDEX(Rebate_Lookup[REB_MOQ_2],MATCH(A33,Rebate_Lookup[SKU CODE],0)),
IF(N33=3,INDEX(Rebate_Lookup[REB_MOQ_3],MATCH(A33,Rebate_Lookup[SKU CODE],0)),
IF(N33=4,INDEX(Rebate_Lookup[REB_MOQ_4],MATCH(A33,Rebate_Lookup[SKU CODE],0)),
"#err")))))</f>
        <v/>
      </c>
      <c r="P33" s="41" t="str">
        <f>IF(L41&gt;5000,IF(OR(O33=0,O33=""),"",ROUND(H33*O33,2)),"")</f>
        <v/>
      </c>
      <c r="Q33" s="41" t="str">
        <f>IF(
    H33&gt;0,
    IF(
        ISNUMBER(SEARCH("*Specticle**FLO*",E33)),
        IF(
            AND(_xlfn.XLOOKUP(A33,PRICING[SKU],PRICING[October Bonus],FALSE),$R$10="YES"),
            ROUND(L33*$G$86,2),
            "N/A"
        ),
        IFERROR(IF(_xlfn.XLOOKUP(A33,PRICING[SKU],PRICING[October Bonus],FALSE),ROUND(L33*SUM($G$83:$G$86),2),ROUND(L33*SUM($G$83:$G$85),2)),"")
    ),
    ""
)</f>
        <v/>
      </c>
      <c r="R33" s="39" t="str">
        <f t="shared" si="13"/>
        <v/>
      </c>
      <c r="S33" s="42" t="str">
        <f t="shared" si="14"/>
        <v/>
      </c>
      <c r="T33" s="271" cm="1">
        <f t="array" ref="T33">IF(OR(H33="",H33=0),
ROUND(_xlfn.XLOOKUP(1,(PRICING[SKU]=A33)*(PRICING[Set]=1),PRICING[Standard Use Rate (oz/M)]),2),ROUND(
_xlfn.XLOOKUP(
1,
(PRICING[SKU]=A33)*
(PRICING[Set]=IF(
_xlfn.XLOOKUP(A33,Rebate_Lookup[SKU CODE],Rebate_Lookup[MOQ_2])=0,
1,
IF(
AND(
_xlfn.XLOOKUP(A33,Rebate_Lookup[SKU CODE],Rebate_Lookup[MOQ_3])=0,
H33&gt;=_xlfn.XLOOKUP(A33,Rebate_Lookup[SKU CODE],Rebate_Lookup[MOQ_2])
),
2,
IF(
AND(
H33&gt;=_xlfn.XLOOKUP(A33,Rebate_Lookup[SKU CODE],Rebate_Lookup[MOQ_1]),
H33&lt;_xlfn.XLOOKUP(A33,Rebate_Lookup[SKU CODE],Rebate_Lookup[MOQ_2])
),
1,
IF(
AND(
H33&gt;=_xlfn.XLOOKUP(A33,Rebate_Lookup[SKU CODE],Rebate_Lookup[MOQ_2]),
OR(
_xlfn.XLOOKUP(A33,Rebate_Lookup[SKU CODE],Rebate_Lookup[MOQ_3])=0,
H33&lt;_xlfn.XLOOKUP(A33,Rebate_Lookup[SKU CODE],Rebate_Lookup[MOQ_3])
)
),
2,
IF(
OR(
AND(
_xlfn.XLOOKUP(A33,Rebate_Lookup[SKU CODE],Rebate_Lookup[MOQ_4])=0,
H33&gt;=_xlfn.XLOOKUP(A33,Rebate_Lookup[SKU CODE],Rebate_Lookup[MOQ_3])
),
AND(
_xlfn.XLOOKUP(A33,Rebate_Lookup[SKU CODE],Rebate_Lookup[MOQ_4])&gt;0,
H33&gt;=_xlfn.XLOOKUP(A33,Rebate_Lookup[SKU CODE],Rebate_Lookup[MOQ_3]),
H33&lt;_xlfn.XLOOKUP(A33,Rebate_Lookup[SKU CODE],Rebate_Lookup[MOQ_4])
)
),
3,
IF(
AND(
_xlfn.XLOOKUP(A33,Rebate_Lookup[SKU CODE],Rebate_Lookup[MOQ_4])&gt;0,
H33&gt;=_xlfn.XLOOKUP(A33,Rebate_Lookup[SKU CODE],Rebate_Lookup[MOQ_4])
),
4,
1
)
)
)
)
)
)),
PRICING[Standard Use Rate (oz/M)]
),
2
))</f>
        <v>0.14000000000000001</v>
      </c>
      <c r="U33" s="43">
        <f t="shared" si="15"/>
        <v>6.1</v>
      </c>
      <c r="V33" s="43" t="str">
        <f>IF(AND(TRIM(U33)&lt;&gt;"",TRIM(H33)&lt;&gt;""),ROUND(H33*INDEX(PRICING[Package Ounces],MATCH(A33,PRICING[SKU],0))/U33,2),"")</f>
        <v/>
      </c>
      <c r="W33" s="249"/>
      <c r="X33" s="250">
        <f t="shared" si="10"/>
        <v>0</v>
      </c>
    </row>
    <row r="34" spans="1:58" ht="18.5" customHeight="1" x14ac:dyDescent="0.2">
      <c r="A34" s="255" t="s">
        <v>54</v>
      </c>
      <c r="B34" s="254" t="b">
        <f t="shared" si="8"/>
        <v>0</v>
      </c>
      <c r="D34" s="75" t="str" cm="1">
        <f t="array" ref="D34">IFERROR(
    _xlfn.TEXTJOIN(
        "; ",
        TRUE,
        _xlfn._xlws.FILTER(
            TEXT(PRICING[Rebate $],"$#,##0.00") &amp;
            " off on " &amp;
            IF(
                (PRICING[Min Qty]="") + (PRICING[Min Qty]=0),
                "1 unit",
                PRICING[Min Qty] &amp; " units"
            ),
            (PRICING[SKU]=$A34) *
            (PRICING[Rebate $]&lt;&gt;"") *
            (PRICING[Rebate $]&lt;&gt;0)
        )
    ),
    "n/a"
)</f>
        <v>$128.00 off on 14-25 units</v>
      </c>
      <c r="E34" s="44" t="str">
        <f>_xlfn.XLOOKUP(A34, PRICING[SKU], PRICING[Product], "")</f>
        <v xml:space="preserve">Specticle® FLO </v>
      </c>
      <c r="F34" s="45" t="str">
        <f>_xlfn.XLOOKUP(A34, PRICING[SKU], PRICING[Size], "")</f>
        <v>1 gal</v>
      </c>
      <c r="G34" s="37" t="str">
        <f>IF(_xlfn.XLOOKUP(A34,PRICING[SKU],PRICING[Indication])="I","Insecticide",
 IF(_xlfn.XLOOKUP(A34,PRICING[SKU],PRICING[Indication])="H","Herbicide",
 IF(_xlfn.XLOOKUP(A34,PRICING[SKU],PRICING[Indication])="F","Fungicide",
 IF(_xlfn.XLOOKUP(A34,PRICING[SKU],PRICING[Indication])="PGR","PGR",""))))</f>
        <v>Herbicide</v>
      </c>
      <c r="H34" s="46"/>
      <c r="I34" s="38">
        <f>INDEX(PRICING[2026 In-Season Price],MATCH(A34,PRICING[SKU],0))</f>
        <v>1916.16</v>
      </c>
      <c r="J34" s="39" t="str">
        <f t="shared" si="11"/>
        <v/>
      </c>
      <c r="K34" s="39">
        <f>INDEX(PRICING[NOW Price],MATCH(A34,PRICING[SKU],0))</f>
        <v>1839.51</v>
      </c>
      <c r="L34" s="39" t="str">
        <f t="shared" si="12"/>
        <v/>
      </c>
      <c r="M34" s="40">
        <f>INDEX(Rebate_Lookup[Instances],MATCH(A34,Rebate_Lookup[SKU CODE],0))</f>
        <v>1</v>
      </c>
      <c r="N34" s="40" t="str">
        <f>IF(H34="","",INDEX(Rebate_Lookup[Qualified Rebate Tier],MATCH(A34,Rebate_Lookup[SKU CODE],0)))</f>
        <v/>
      </c>
      <c r="O34" s="39" t="str">
        <f>IF(OR(H34="",N34=""),"",
IF(N34=1,INDEX(Rebate_Lookup[REB_MOQ_1],MATCH(A34,Rebate_Lookup[SKU CODE],0)),
IF(N34=2,INDEX(Rebate_Lookup[REB_MOQ_2],MATCH(A34,Rebate_Lookup[SKU CODE],0)),
IF(N34=3,INDEX(Rebate_Lookup[REB_MOQ_3],MATCH(A34,Rebate_Lookup[SKU CODE],0)),
IF(N34=4,INDEX(Rebate_Lookup[REB_MOQ_4],MATCH(A34,Rebate_Lookup[SKU CODE],0)),
"#err")))))</f>
        <v/>
      </c>
      <c r="P34" s="41" t="str">
        <f>IF(L41&gt;5000,IF(OR(O34=0,O34=""),"",ROUND(H34*O34,2)),"")</f>
        <v/>
      </c>
      <c r="Q34" s="41" t="str">
        <f>IF(
    H34&gt;0,
    IF(
        ISNUMBER(SEARCH("*Specticle**FLO*",E34)),
        IF(
            AND(_xlfn.XLOOKUP(A34,PRICING[SKU],PRICING[October Bonus],FALSE),$R$10="YES"),
            ROUND(L34*$G$86,2),
            "N/A"
        ),
        IFERROR(IF(_xlfn.XLOOKUP(A34,PRICING[SKU],PRICING[October Bonus],FALSE),ROUND(L34*SUM($G$83:$G$86),2),ROUND(L34*SUM($G$83:$G$85),2)),"")
    ),
    ""
)</f>
        <v/>
      </c>
      <c r="R34" s="39" t="str">
        <f t="shared" si="13"/>
        <v/>
      </c>
      <c r="S34" s="42" t="str">
        <f t="shared" si="14"/>
        <v/>
      </c>
      <c r="T34" s="271" cm="1">
        <f t="array" ref="T34">IF(OR(H34="",H34=0),
ROUND(_xlfn.XLOOKUP(1,(PRICING[SKU]=A34)*(PRICING[Set]=1),PRICING[Standard Use Rate (oz/M)]),2),ROUND(
_xlfn.XLOOKUP(
1,
(PRICING[SKU]=A34)*
(PRICING[Set]=IF(
_xlfn.XLOOKUP(A34,Rebate_Lookup[SKU CODE],Rebate_Lookup[MOQ_2])=0,
1,
IF(
AND(
_xlfn.XLOOKUP(A34,Rebate_Lookup[SKU CODE],Rebate_Lookup[MOQ_3])=0,
H34&gt;=_xlfn.XLOOKUP(A34,Rebate_Lookup[SKU CODE],Rebate_Lookup[MOQ_2])
),
2,
IF(
AND(
H34&gt;=_xlfn.XLOOKUP(A34,Rebate_Lookup[SKU CODE],Rebate_Lookup[MOQ_1]),
H34&lt;_xlfn.XLOOKUP(A34,Rebate_Lookup[SKU CODE],Rebate_Lookup[MOQ_2])
),
1,
IF(
AND(
H34&gt;=_xlfn.XLOOKUP(A34,Rebate_Lookup[SKU CODE],Rebate_Lookup[MOQ_2]),
OR(
_xlfn.XLOOKUP(A34,Rebate_Lookup[SKU CODE],Rebate_Lookup[MOQ_3])=0,
H34&lt;_xlfn.XLOOKUP(A34,Rebate_Lookup[SKU CODE],Rebate_Lookup[MOQ_3])
)
),
2,
IF(
OR(
AND(
_xlfn.XLOOKUP(A34,Rebate_Lookup[SKU CODE],Rebate_Lookup[MOQ_4])=0,
H34&gt;=_xlfn.XLOOKUP(A34,Rebate_Lookup[SKU CODE],Rebate_Lookup[MOQ_3])
),
AND(
_xlfn.XLOOKUP(A34,Rebate_Lookup[SKU CODE],Rebate_Lookup[MOQ_4])&gt;0,
H34&gt;=_xlfn.XLOOKUP(A34,Rebate_Lookup[SKU CODE],Rebate_Lookup[MOQ_3]),
H34&lt;_xlfn.XLOOKUP(A34,Rebate_Lookup[SKU CODE],Rebate_Lookup[MOQ_4])
)
),
3,
IF(
AND(
_xlfn.XLOOKUP(A34,Rebate_Lookup[SKU CODE],Rebate_Lookup[MOQ_4])&gt;0,
H34&gt;=_xlfn.XLOOKUP(A34,Rebate_Lookup[SKU CODE],Rebate_Lookup[MOQ_4])
),
4,
1
)
)
)
)
)
)),
PRICING[Standard Use Rate (oz/M)]
),
2
))</f>
        <v>0.14000000000000001</v>
      </c>
      <c r="U34" s="43">
        <f t="shared" si="15"/>
        <v>6.1</v>
      </c>
      <c r="V34" s="43" t="str">
        <f>IF(AND(TRIM(U34)&lt;&gt;"",TRIM(H34)&lt;&gt;""),ROUND(H34*INDEX(PRICING[Package Ounces],MATCH(A34,PRICING[SKU],0))/U34,2),"")</f>
        <v/>
      </c>
      <c r="W34" s="249"/>
      <c r="X34" s="250">
        <f t="shared" si="10"/>
        <v>0</v>
      </c>
    </row>
    <row r="35" spans="1:58" ht="18.5" customHeight="1" x14ac:dyDescent="0.2">
      <c r="A35" s="253" t="s">
        <v>55</v>
      </c>
      <c r="B35" s="254" t="b">
        <f t="shared" si="8"/>
        <v>0</v>
      </c>
      <c r="D35" s="75" t="str" cm="1">
        <f t="array" ref="D35">IFERROR(
    _xlfn.TEXTJOIN(
        "; ",
        TRUE,
        _xlfn._xlws.FILTER(
            TEXT(PRICING[Rebate $],"$#,##0.00") &amp;
            " off on " &amp;
            IF(
                (PRICING[Min Qty]="") + (PRICING[Min Qty]=0),
                "1 unit",
                PRICING[Min Qty] &amp; " units"
            ),
            (PRICING[SKU]=$A35) *
            (PRICING[Rebate $]&lt;&gt;"") *
            (PRICING[Rebate $]&lt;&gt;0)
        )
    ),
    "n/a"
)</f>
        <v>$328.00 off on 26+ units</v>
      </c>
      <c r="E35" s="44" t="str">
        <f>_xlfn.XLOOKUP(A35, PRICING[SKU], PRICING[Product], "")</f>
        <v xml:space="preserve">Specticle® FLO </v>
      </c>
      <c r="F35" s="45" t="str">
        <f>_xlfn.XLOOKUP(A35, PRICING[SKU], PRICING[Size], "")</f>
        <v>1 gal</v>
      </c>
      <c r="G35" s="37" t="str">
        <f>IF(_xlfn.XLOOKUP(A35,PRICING[SKU],PRICING[Indication])="I","Insecticide",
 IF(_xlfn.XLOOKUP(A35,PRICING[SKU],PRICING[Indication])="H","Herbicide",
 IF(_xlfn.XLOOKUP(A35,PRICING[SKU],PRICING[Indication])="F","Fungicide",
 IF(_xlfn.XLOOKUP(A35,PRICING[SKU],PRICING[Indication])="PGR","PGR",""))))</f>
        <v>Herbicide</v>
      </c>
      <c r="H35" s="46"/>
      <c r="I35" s="38">
        <f>INDEX(PRICING[2026 In-Season Price],MATCH(A35,PRICING[SKU],0))</f>
        <v>1916.16</v>
      </c>
      <c r="J35" s="39" t="str">
        <f t="shared" si="11"/>
        <v/>
      </c>
      <c r="K35" s="39">
        <f>INDEX(PRICING[NOW Price],MATCH(A35,PRICING[SKU],0))</f>
        <v>1820.35</v>
      </c>
      <c r="L35" s="39" t="str">
        <f t="shared" si="12"/>
        <v/>
      </c>
      <c r="M35" s="40">
        <f>INDEX(Rebate_Lookup[Instances],MATCH(A35,Rebate_Lookup[SKU CODE],0))</f>
        <v>1</v>
      </c>
      <c r="N35" s="40" t="str">
        <f>IF(H35="","",INDEX(Rebate_Lookup[Qualified Rebate Tier],MATCH(A35,Rebate_Lookup[SKU CODE],0)))</f>
        <v/>
      </c>
      <c r="O35" s="39" t="str">
        <f>IF(OR(H35="",N35=""),"",
IF(N35=1,INDEX(Rebate_Lookup[REB_MOQ_1],MATCH(A35,Rebate_Lookup[SKU CODE],0)),
IF(N35=2,INDEX(Rebate_Lookup[REB_MOQ_2],MATCH(A35,Rebate_Lookup[SKU CODE],0)),
IF(N35=3,INDEX(Rebate_Lookup[REB_MOQ_3],MATCH(A35,Rebate_Lookup[SKU CODE],0)),
IF(N35=4,INDEX(Rebate_Lookup[REB_MOQ_4],MATCH(A35,Rebate_Lookup[SKU CODE],0)),
"#err")))))</f>
        <v/>
      </c>
      <c r="P35" s="41" t="str">
        <f>IF(L41&gt;5000,IF(OR(O35=0,O35=""),"",ROUND(H35*O35,2)),"")</f>
        <v/>
      </c>
      <c r="Q35" s="41" t="str">
        <f>IF(
    H35&gt;0,
    IF(
        ISNUMBER(SEARCH("*Specticle**FLO*",E35)),
        IF(
            AND(_xlfn.XLOOKUP(A35,PRICING[SKU],PRICING[October Bonus],FALSE),$R$10="YES"),
            ROUND(L35*$G$86,2),
            "N/A"
        ),
        IFERROR(IF(_xlfn.XLOOKUP(A35,PRICING[SKU],PRICING[October Bonus],FALSE),ROUND(L35*SUM($G$83:$G$86),2),ROUND(L35*SUM($G$83:$G$85),2)),"")
    ),
    ""
)</f>
        <v/>
      </c>
      <c r="R35" s="39" t="str">
        <f t="shared" si="13"/>
        <v/>
      </c>
      <c r="S35" s="42" t="str">
        <f t="shared" si="14"/>
        <v/>
      </c>
      <c r="T35" s="271" cm="1">
        <f t="array" ref="T35">IF(OR(H35="",H35=0),
ROUND(_xlfn.XLOOKUP(1,(PRICING[SKU]=A35)*(PRICING[Set]=1),PRICING[Standard Use Rate (oz/M)]),2),ROUND(
_xlfn.XLOOKUP(
1,
(PRICING[SKU]=A35)*
(PRICING[Set]=IF(
_xlfn.XLOOKUP(A35,Rebate_Lookup[SKU CODE],Rebate_Lookup[MOQ_2])=0,
1,
IF(
AND(
_xlfn.XLOOKUP(A35,Rebate_Lookup[SKU CODE],Rebate_Lookup[MOQ_3])=0,
H35&gt;=_xlfn.XLOOKUP(A35,Rebate_Lookup[SKU CODE],Rebate_Lookup[MOQ_2])
),
2,
IF(
AND(
H35&gt;=_xlfn.XLOOKUP(A35,Rebate_Lookup[SKU CODE],Rebate_Lookup[MOQ_1]),
H35&lt;_xlfn.XLOOKUP(A35,Rebate_Lookup[SKU CODE],Rebate_Lookup[MOQ_2])
),
1,
IF(
AND(
H35&gt;=_xlfn.XLOOKUP(A35,Rebate_Lookup[SKU CODE],Rebate_Lookup[MOQ_2]),
OR(
_xlfn.XLOOKUP(A35,Rebate_Lookup[SKU CODE],Rebate_Lookup[MOQ_3])=0,
H35&lt;_xlfn.XLOOKUP(A35,Rebate_Lookup[SKU CODE],Rebate_Lookup[MOQ_3])
)
),
2,
IF(
OR(
AND(
_xlfn.XLOOKUP(A35,Rebate_Lookup[SKU CODE],Rebate_Lookup[MOQ_4])=0,
H35&gt;=_xlfn.XLOOKUP(A35,Rebate_Lookup[SKU CODE],Rebate_Lookup[MOQ_3])
),
AND(
_xlfn.XLOOKUP(A35,Rebate_Lookup[SKU CODE],Rebate_Lookup[MOQ_4])&gt;0,
H35&gt;=_xlfn.XLOOKUP(A35,Rebate_Lookup[SKU CODE],Rebate_Lookup[MOQ_3]),
H35&lt;_xlfn.XLOOKUP(A35,Rebate_Lookup[SKU CODE],Rebate_Lookup[MOQ_4])
)
),
3,
IF(
AND(
_xlfn.XLOOKUP(A35,Rebate_Lookup[SKU CODE],Rebate_Lookup[MOQ_4])&gt;0,
H35&gt;=_xlfn.XLOOKUP(A35,Rebate_Lookup[SKU CODE],Rebate_Lookup[MOQ_4])
),
4,
1
)
)
)
)
)
)),
PRICING[Standard Use Rate (oz/M)]
),
2
))</f>
        <v>0.14000000000000001</v>
      </c>
      <c r="U35" s="43">
        <f t="shared" si="15"/>
        <v>6.1</v>
      </c>
      <c r="V35" s="43" t="str">
        <f>IF(AND(TRIM(U35)&lt;&gt;"",TRIM(H35)&lt;&gt;""),ROUND(H35*INDEX(PRICING[Package Ounces],MATCH(A35,PRICING[SKU],0))/U35,2),"")</f>
        <v/>
      </c>
      <c r="W35" s="249">
        <f t="shared" ref="W35:W40" si="16">IF(H35&lt;&gt;0,ROUND(S35/V35,2),0)</f>
        <v>0</v>
      </c>
      <c r="X35" s="250">
        <f t="shared" si="10"/>
        <v>0</v>
      </c>
    </row>
    <row r="36" spans="1:58" ht="18.5" customHeight="1" x14ac:dyDescent="0.2">
      <c r="A36" s="255" t="s">
        <v>56</v>
      </c>
      <c r="B36" s="254" t="b">
        <f t="shared" si="8"/>
        <v>0</v>
      </c>
      <c r="D36" s="75" t="str" cm="1">
        <f t="array" ref="D36">IFERROR(
    _xlfn.TEXTJOIN(
        "; ",
        TRUE,
        _xlfn._xlws.FILTER(
            TEXT(PRICING[Rebate $],"$#,##0.00") &amp;
            " off on " &amp;
            IF(
                (PRICING[Min Qty]="") + (PRICING[Min Qty]=0),
                "1 unit",
                PRICING[Min Qty] &amp; " units"
            ),
            (PRICING[SKU]=$A36) *
            (PRICING[Rebate $]&lt;&gt;"") *
            (PRICING[Rebate $]&lt;&gt;0)
        )
    ),
    "n/a"
)</f>
        <v>$20.00 off on 40+ units</v>
      </c>
      <c r="E36" s="44" t="str">
        <f>_xlfn.XLOOKUP(A36, PRICING[SKU], PRICING[Product], "")</f>
        <v>Specticle® G</v>
      </c>
      <c r="F36" s="45" t="str">
        <f>_xlfn.XLOOKUP(A36, PRICING[SKU], PRICING[Size], "")</f>
        <v>50 lb</v>
      </c>
      <c r="G36" s="37" t="str">
        <f>IF(_xlfn.XLOOKUP(A36,PRICING[SKU],PRICING[Indication])="I","Insecticide",
 IF(_xlfn.XLOOKUP(A36,PRICING[SKU],PRICING[Indication])="H","Herbicide",
 IF(_xlfn.XLOOKUP(A36,PRICING[SKU],PRICING[Indication])="F","Fungicide",
 IF(_xlfn.XLOOKUP(A36,PRICING[SKU],PRICING[Indication])="PGR","PGR",""))))</f>
        <v>Herbicide</v>
      </c>
      <c r="H36" s="46"/>
      <c r="I36" s="38">
        <f>INDEX(PRICING[2026 In-Season Price],MATCH(A36,PRICING[SKU],0))</f>
        <v>139</v>
      </c>
      <c r="J36" s="39" t="str">
        <f t="shared" si="11"/>
        <v/>
      </c>
      <c r="K36" s="39">
        <f>INDEX(PRICING[NOW Price],MATCH(A36,PRICING[SKU],0))</f>
        <v>139</v>
      </c>
      <c r="L36" s="39" t="str">
        <f t="shared" si="12"/>
        <v/>
      </c>
      <c r="M36" s="40">
        <f>INDEX(Rebate_Lookup[Instances],MATCH(A36,Rebate_Lookup[SKU CODE],0))</f>
        <v>2</v>
      </c>
      <c r="N36" s="40" t="str">
        <f>IF(H36="","",INDEX(Rebate_Lookup[Qualified Rebate Tier],MATCH(A36,Rebate_Lookup[SKU CODE],0)))</f>
        <v/>
      </c>
      <c r="O36" s="39" t="str">
        <f>IF(OR(H36="",N36=""),"",
IF(N36=1,INDEX(Rebate_Lookup[REB_MOQ_1],MATCH(A36,Rebate_Lookup[SKU CODE],0)),
IF(N36=2,INDEX(Rebate_Lookup[REB_MOQ_2],MATCH(A36,Rebate_Lookup[SKU CODE],0)),
IF(N36=3,INDEX(Rebate_Lookup[REB_MOQ_3],MATCH(A36,Rebate_Lookup[SKU CODE],0)),
IF(N36=4,INDEX(Rebate_Lookup[REB_MOQ_4],MATCH(A36,Rebate_Lookup[SKU CODE],0)),
"#err")))))</f>
        <v/>
      </c>
      <c r="P36" s="41" t="str">
        <f>IF(L41&gt;5000,IF(OR(O36=0,O36=""),"",ROUND(H36*O36,2)),"")</f>
        <v/>
      </c>
      <c r="Q36" s="41" t="str">
        <f>IF(
    H36&gt;0,
    IF(
        ISNUMBER(SEARCH("*Specticle**FLO*",E36)),
        IF(
            AND(_xlfn.XLOOKUP(A36,PRICING[SKU],PRICING[October Bonus],FALSE),$R$10="YES"),
            ROUND(L36*$G$86,2),
            "N/A"
        ),
        IFERROR(IF(_xlfn.XLOOKUP(A36,PRICING[SKU],PRICING[October Bonus],FALSE),ROUND(L36*SUM($G$83:$G$86),2),ROUND(L36*SUM($G$83:$G$85),2)),"")
    ),
    ""
)</f>
        <v/>
      </c>
      <c r="R36" s="39" t="str">
        <f t="shared" si="13"/>
        <v/>
      </c>
      <c r="S36" s="42" t="str">
        <f t="shared" si="14"/>
        <v/>
      </c>
      <c r="T36" s="271" cm="1">
        <f t="array" ref="T36">IF(OR(H36="",H36=0),
ROUND(_xlfn.XLOOKUP(1,(PRICING[SKU]=A36)*(PRICING[Set]=1),PRICING[Standard Use Rate (oz/M)]),2),ROUND(
_xlfn.XLOOKUP(
1,
(PRICING[SKU]=A36)*
(PRICING[Set]=IF(
_xlfn.XLOOKUP(A36,Rebate_Lookup[SKU CODE],Rebate_Lookup[MOQ_2])=0,
1,
IF(
AND(
_xlfn.XLOOKUP(A36,Rebate_Lookup[SKU CODE],Rebate_Lookup[MOQ_3])=0,
H36&gt;=_xlfn.XLOOKUP(A36,Rebate_Lookup[SKU CODE],Rebate_Lookup[MOQ_2])
),
2,
IF(
AND(
H36&gt;=_xlfn.XLOOKUP(A36,Rebate_Lookup[SKU CODE],Rebate_Lookup[MOQ_1]),
H36&lt;_xlfn.XLOOKUP(A36,Rebate_Lookup[SKU CODE],Rebate_Lookup[MOQ_2])
),
1,
IF(
AND(
H36&gt;=_xlfn.XLOOKUP(A36,Rebate_Lookup[SKU CODE],Rebate_Lookup[MOQ_2]),
OR(
_xlfn.XLOOKUP(A36,Rebate_Lookup[SKU CODE],Rebate_Lookup[MOQ_3])=0,
H36&lt;_xlfn.XLOOKUP(A36,Rebate_Lookup[SKU CODE],Rebate_Lookup[MOQ_3])
)
),
2,
IF(
OR(
AND(
_xlfn.XLOOKUP(A36,Rebate_Lookup[SKU CODE],Rebate_Lookup[MOQ_4])=0,
H36&gt;=_xlfn.XLOOKUP(A36,Rebate_Lookup[SKU CODE],Rebate_Lookup[MOQ_3])
),
AND(
_xlfn.XLOOKUP(A36,Rebate_Lookup[SKU CODE],Rebate_Lookup[MOQ_4])&gt;0,
H36&gt;=_xlfn.XLOOKUP(A36,Rebate_Lookup[SKU CODE],Rebate_Lookup[MOQ_3]),
H36&lt;_xlfn.XLOOKUP(A36,Rebate_Lookup[SKU CODE],Rebate_Lookup[MOQ_4])
)
),
3,
IF(
AND(
_xlfn.XLOOKUP(A36,Rebate_Lookup[SKU CODE],Rebate_Lookup[MOQ_4])&gt;0,
H36&gt;=_xlfn.XLOOKUP(A36,Rebate_Lookup[SKU CODE],Rebate_Lookup[MOQ_4])
),
4,
1
)
)
)
)
)
)),
PRICING[Standard Use Rate (oz/M)]
),
2
))</f>
        <v>3.44</v>
      </c>
      <c r="U36" s="43">
        <f t="shared" si="15"/>
        <v>149.85</v>
      </c>
      <c r="V36" s="43" t="str">
        <f>IF(AND(TRIM(U36)&lt;&gt;"",TRIM(H36)&lt;&gt;""),ROUND(H36*INDEX(PRICING[Package Ounces],MATCH(A36,PRICING[SKU],0))/U36,2),"")</f>
        <v/>
      </c>
      <c r="W36" s="249">
        <f t="shared" si="16"/>
        <v>0</v>
      </c>
      <c r="X36" s="250">
        <f t="shared" si="10"/>
        <v>0</v>
      </c>
    </row>
    <row r="37" spans="1:58" ht="18.5" customHeight="1" x14ac:dyDescent="0.2">
      <c r="A37" s="256">
        <v>86797658</v>
      </c>
      <c r="B37" s="254" t="b">
        <f t="shared" si="8"/>
        <v>0</v>
      </c>
      <c r="D37" s="75" t="str" cm="1">
        <f t="array" ref="D37">IFERROR(
    _xlfn.TEXTJOIN(
        "; ",
        TRUE,
        _xlfn._xlws.FILTER(
            TEXT(PRICING[Rebate $],"$#,##0.00") &amp;
            " off on " &amp;
            IF(
                (PRICING[Min Qty]="") + (PRICING[Min Qty]=0),
                "1 unit",
                PRICING[Min Qty] &amp; " units"
            ),
            (PRICING[SKU]=$A37) *
            (PRICING[Rebate $]&lt;&gt;"") *
            (PRICING[Rebate $]&lt;&gt;0)
        )
    ),
    "n/a"
)</f>
        <v>$40.00 off on 1-4 units; $160.00 off on 5+ units</v>
      </c>
      <c r="E37" s="44" t="str">
        <f>_xlfn.XLOOKUP(A37, PRICING[SKU], PRICING[Product], "")</f>
        <v>Tetrino®</v>
      </c>
      <c r="F37" s="45" t="str">
        <f>_xlfn.XLOOKUP(A37, PRICING[SKU], PRICING[Size], "")</f>
        <v> 1 gal</v>
      </c>
      <c r="G37" s="37" t="str">
        <f>IF(_xlfn.XLOOKUP(A37,PRICING[SKU],PRICING[Indication])="I","Insecticide",
 IF(_xlfn.XLOOKUP(A37,PRICING[SKU],PRICING[Indication])="H","Herbicide",
 IF(_xlfn.XLOOKUP(A37,PRICING[SKU],PRICING[Indication])="F","Fungicide",
 IF(_xlfn.XLOOKUP(A37,PRICING[SKU],PRICING[Indication])="PGR","PGR",""))))</f>
        <v>Insecticide</v>
      </c>
      <c r="H37" s="46"/>
      <c r="I37" s="38">
        <f>INDEX(PRICING[2026 In-Season Price],MATCH(A37,PRICING[SKU],0))</f>
        <v>606.72</v>
      </c>
      <c r="J37" s="39" t="str">
        <f t="shared" si="11"/>
        <v/>
      </c>
      <c r="K37" s="39">
        <f>INDEX(PRICING[NOW Price],MATCH(A37,PRICING[SKU],0))</f>
        <v>606.72</v>
      </c>
      <c r="L37" s="39" t="str">
        <f t="shared" si="12"/>
        <v/>
      </c>
      <c r="M37" s="40">
        <f>INDEX(Rebate_Lookup[Instances],MATCH(A37,Rebate_Lookup[SKU CODE],0))</f>
        <v>2</v>
      </c>
      <c r="N37" s="40" t="str">
        <f>IF(H37="","",INDEX(Rebate_Lookup[Qualified Rebate Tier],MATCH(A37,Rebate_Lookup[SKU CODE],0)))</f>
        <v/>
      </c>
      <c r="O37" s="39" t="str">
        <f>IF(OR(H37="",N37=""),"",
IF(N37=1,INDEX(Rebate_Lookup[REB_MOQ_1],MATCH(A37,Rebate_Lookup[SKU CODE],0)),
IF(N37=2,INDEX(Rebate_Lookup[REB_MOQ_2],MATCH(A37,Rebate_Lookup[SKU CODE],0)),
IF(N37=3,INDEX(Rebate_Lookup[REB_MOQ_3],MATCH(A37,Rebate_Lookup[SKU CODE],0)),
IF(N37=4,INDEX(Rebate_Lookup[REB_MOQ_4],MATCH(A37,Rebate_Lookup[SKU CODE],0)),
"#err")))))</f>
        <v/>
      </c>
      <c r="P37" s="41" t="str">
        <f>IF(L41&gt;5000,IF(OR(O37=0,O37=""),"",ROUND(H37*O37,2)),"")</f>
        <v/>
      </c>
      <c r="Q37" s="41" t="str">
        <f>IF(
    H37&gt;0,
    IF(
        ISNUMBER(SEARCH("*Specticle**FLO*",E37)),
        IF(
            AND(_xlfn.XLOOKUP(A37,PRICING[SKU],PRICING[October Bonus],FALSE),$R$10="YES"),
            ROUND(L37*$G$86,2),
            "N/A"
        ),
        IFERROR(IF(_xlfn.XLOOKUP(A37,PRICING[SKU],PRICING[October Bonus],FALSE),ROUND(L37*SUM($G$83:$G$86),2),ROUND(L37*SUM($G$83:$G$85),2)),"")
    ),
    ""
)</f>
        <v/>
      </c>
      <c r="R37" s="39" t="str">
        <f t="shared" si="13"/>
        <v/>
      </c>
      <c r="S37" s="42" t="str">
        <f t="shared" si="14"/>
        <v/>
      </c>
      <c r="T37" s="271" cm="1">
        <f t="array" ref="T37">IF(OR(H37="",H37=0),
ROUND(_xlfn.XLOOKUP(1,(PRICING[SKU]=A37)*(PRICING[Set]=1),PRICING[Standard Use Rate (oz/M)]),2),ROUND(
_xlfn.XLOOKUP(
1,
(PRICING[SKU]=A37)*
(PRICING[Set]=IF(
_xlfn.XLOOKUP(A37,Rebate_Lookup[SKU CODE],Rebate_Lookup[MOQ_2])=0,
1,
IF(
AND(
_xlfn.XLOOKUP(A37,Rebate_Lookup[SKU CODE],Rebate_Lookup[MOQ_3])=0,
H37&gt;=_xlfn.XLOOKUP(A37,Rebate_Lookup[SKU CODE],Rebate_Lookup[MOQ_2])
),
2,
IF(
AND(
H37&gt;=_xlfn.XLOOKUP(A37,Rebate_Lookup[SKU CODE],Rebate_Lookup[MOQ_1]),
H37&lt;_xlfn.XLOOKUP(A37,Rebate_Lookup[SKU CODE],Rebate_Lookup[MOQ_2])
),
1,
IF(
AND(
H37&gt;=_xlfn.XLOOKUP(A37,Rebate_Lookup[SKU CODE],Rebate_Lookup[MOQ_2]),
OR(
_xlfn.XLOOKUP(A37,Rebate_Lookup[SKU CODE],Rebate_Lookup[MOQ_3])=0,
H37&lt;_xlfn.XLOOKUP(A37,Rebate_Lookup[SKU CODE],Rebate_Lookup[MOQ_3])
)
),
2,
IF(
OR(
AND(
_xlfn.XLOOKUP(A37,Rebate_Lookup[SKU CODE],Rebate_Lookup[MOQ_4])=0,
H37&gt;=_xlfn.XLOOKUP(A37,Rebate_Lookup[SKU CODE],Rebate_Lookup[MOQ_3])
),
AND(
_xlfn.XLOOKUP(A37,Rebate_Lookup[SKU CODE],Rebate_Lookup[MOQ_4])&gt;0,
H37&gt;=_xlfn.XLOOKUP(A37,Rebate_Lookup[SKU CODE],Rebate_Lookup[MOQ_3]),
H37&lt;_xlfn.XLOOKUP(A37,Rebate_Lookup[SKU CODE],Rebate_Lookup[MOQ_4])
)
),
3,
IF(
AND(
_xlfn.XLOOKUP(A37,Rebate_Lookup[SKU CODE],Rebate_Lookup[MOQ_4])&gt;0,
H37&gt;=_xlfn.XLOOKUP(A37,Rebate_Lookup[SKU CODE],Rebate_Lookup[MOQ_4])
),
4,
1
)
)
)
)
)
)),
PRICING[Standard Use Rate (oz/M)]
),
2
))</f>
        <v>0.73</v>
      </c>
      <c r="U37" s="43">
        <f t="shared" si="15"/>
        <v>31.8</v>
      </c>
      <c r="V37" s="43" t="str">
        <f>IF(AND(TRIM(U37)&lt;&gt;"",TRIM(H37)&lt;&gt;""),ROUND(H37*INDEX(PRICING[Package Ounces],MATCH(A37,PRICING[SKU],0))/U37,2),"")</f>
        <v/>
      </c>
      <c r="W37" s="249">
        <f t="shared" si="16"/>
        <v>0</v>
      </c>
      <c r="X37" s="250">
        <f t="shared" si="10"/>
        <v>0</v>
      </c>
    </row>
    <row r="38" spans="1:58" ht="18.5" customHeight="1" x14ac:dyDescent="0.2">
      <c r="A38" s="255">
        <v>81746257</v>
      </c>
      <c r="B38" s="254" t="b">
        <f t="shared" si="8"/>
        <v>0</v>
      </c>
      <c r="D38" s="75" t="str" cm="1">
        <f t="array" ref="D38">IFERROR(
    _xlfn.TEXTJOIN(
        "; ",
        TRUE,
        _xlfn._xlws.FILTER(
            TEXT(PRICING[Rebate $],"$#,##0.00") &amp;
            " off on " &amp;
            IF(
                (PRICING[Min Qty]="") + (PRICING[Min Qty]=0),
                "1 unit",
                PRICING[Min Qty] &amp; " units"
            ),
            (PRICING[SKU]=$A38) *
            (PRICING[Rebate $]&lt;&gt;"") *
            (PRICING[Rebate $]&lt;&gt;0)
        )
    ),
    "n/a"
)</f>
        <v>$40.00 off on 6+ units</v>
      </c>
      <c r="E38" s="44" t="str">
        <f>_xlfn.XLOOKUP(A38, PRICING[SKU], PRICING[Product], "")</f>
        <v>Tribute® Total</v>
      </c>
      <c r="F38" s="45" t="str">
        <f>_xlfn.XLOOKUP(A38, PRICING[SKU], PRICING[Size], "")</f>
        <v>6 oz</v>
      </c>
      <c r="G38" s="37" t="str">
        <f>IF(_xlfn.XLOOKUP(A38,PRICING[SKU],PRICING[Indication])="I","Insecticide",
 IF(_xlfn.XLOOKUP(A38,PRICING[SKU],PRICING[Indication])="H","Herbicide",
 IF(_xlfn.XLOOKUP(A38,PRICING[SKU],PRICING[Indication])="F","Fungicide",
 IF(_xlfn.XLOOKUP(A38,PRICING[SKU],PRICING[Indication])="PGR","PGR",""))))</f>
        <v>Herbicide</v>
      </c>
      <c r="H38" s="46"/>
      <c r="I38" s="38">
        <f>INDEX(PRICING[2026 In-Season Price],MATCH(A38,PRICING[SKU],0))</f>
        <v>445.8</v>
      </c>
      <c r="J38" s="39" t="str">
        <f t="shared" si="11"/>
        <v/>
      </c>
      <c r="K38" s="39">
        <f>INDEX(PRICING[NOW Price],MATCH(A38,PRICING[SKU],0))</f>
        <v>445.8</v>
      </c>
      <c r="L38" s="39" t="str">
        <f t="shared" si="12"/>
        <v/>
      </c>
      <c r="M38" s="40">
        <f>INDEX(Rebate_Lookup[Instances],MATCH(A38,Rebate_Lookup[SKU CODE],0))</f>
        <v>2</v>
      </c>
      <c r="N38" s="40" t="str">
        <f>IF(H38="","",INDEX(Rebate_Lookup[Qualified Rebate Tier],MATCH(A38,Rebate_Lookup[SKU CODE],0)))</f>
        <v/>
      </c>
      <c r="O38" s="39" t="str">
        <f>IF(OR(H38="",N38=""),"",
IF(N38=1,INDEX(Rebate_Lookup[REB_MOQ_1],MATCH(A38,Rebate_Lookup[SKU CODE],0)),
IF(N38=2,INDEX(Rebate_Lookup[REB_MOQ_2],MATCH(A38,Rebate_Lookup[SKU CODE],0)),
IF(N38=3,INDEX(Rebate_Lookup[REB_MOQ_3],MATCH(A38,Rebate_Lookup[SKU CODE],0)),
IF(N38=4,INDEX(Rebate_Lookup[REB_MOQ_4],MATCH(A38,Rebate_Lookup[SKU CODE],0)),
"#err")))))</f>
        <v/>
      </c>
      <c r="P38" s="41" t="str">
        <f>IF(L41&gt;5000,IF(OR(O38=0,O38=""),"",ROUND(H38*O38,2)),"")</f>
        <v/>
      </c>
      <c r="Q38" s="41" t="str">
        <f>IF(
    H38&gt;0,
    IF(
        ISNUMBER(SEARCH("*Specticle**FLO*",E38)),
        IF(
            AND(_xlfn.XLOOKUP(A38,PRICING[SKU],PRICING[October Bonus],FALSE),$R$10="YES"),
            ROUND(L38*$G$86,2),
            "N/A"
        ),
        IFERROR(IF(_xlfn.XLOOKUP(A38,PRICING[SKU],PRICING[October Bonus],FALSE),ROUND(L38*SUM($G$83:$G$86),2),ROUND(L38*SUM($G$83:$G$85),2)),"")
    ),
    ""
)</f>
        <v/>
      </c>
      <c r="R38" s="39" t="str">
        <f t="shared" si="13"/>
        <v/>
      </c>
      <c r="S38" s="42" t="str">
        <f t="shared" si="14"/>
        <v/>
      </c>
      <c r="T38" s="271" cm="1">
        <f t="array" ref="T38">IF(OR(H38="",H38=0),
ROUND(_xlfn.XLOOKUP(1,(PRICING[SKU]=A38)*(PRICING[Set]=1),PRICING[Standard Use Rate (oz/M)]),2),ROUND(
_xlfn.XLOOKUP(
1,
(PRICING[SKU]=A38)*
(PRICING[Set]=IF(
_xlfn.XLOOKUP(A38,Rebate_Lookup[SKU CODE],Rebate_Lookup[MOQ_2])=0,
1,
IF(
AND(
_xlfn.XLOOKUP(A38,Rebate_Lookup[SKU CODE],Rebate_Lookup[MOQ_3])=0,
H38&gt;=_xlfn.XLOOKUP(A38,Rebate_Lookup[SKU CODE],Rebate_Lookup[MOQ_2])
),
2,
IF(
AND(
H38&gt;=_xlfn.XLOOKUP(A38,Rebate_Lookup[SKU CODE],Rebate_Lookup[MOQ_1]),
H38&lt;_xlfn.XLOOKUP(A38,Rebate_Lookup[SKU CODE],Rebate_Lookup[MOQ_2])
),
1,
IF(
AND(
H38&gt;=_xlfn.XLOOKUP(A38,Rebate_Lookup[SKU CODE],Rebate_Lookup[MOQ_2]),
OR(
_xlfn.XLOOKUP(A38,Rebate_Lookup[SKU CODE],Rebate_Lookup[MOQ_3])=0,
H38&lt;_xlfn.XLOOKUP(A38,Rebate_Lookup[SKU CODE],Rebate_Lookup[MOQ_3])
)
),
2,
IF(
OR(
AND(
_xlfn.XLOOKUP(A38,Rebate_Lookup[SKU CODE],Rebate_Lookup[MOQ_4])=0,
H38&gt;=_xlfn.XLOOKUP(A38,Rebate_Lookup[SKU CODE],Rebate_Lookup[MOQ_3])
),
AND(
_xlfn.XLOOKUP(A38,Rebate_Lookup[SKU CODE],Rebate_Lookup[MOQ_4])&gt;0,
H38&gt;=_xlfn.XLOOKUP(A38,Rebate_Lookup[SKU CODE],Rebate_Lookup[MOQ_3]),
H38&lt;_xlfn.XLOOKUP(A38,Rebate_Lookup[SKU CODE],Rebate_Lookup[MOQ_4])
)
),
3,
IF(
AND(
_xlfn.XLOOKUP(A38,Rebate_Lookup[SKU CODE],Rebate_Lookup[MOQ_4])&gt;0,
H38&gt;=_xlfn.XLOOKUP(A38,Rebate_Lookup[SKU CODE],Rebate_Lookup[MOQ_4])
),
4,
1
)
)
)
)
)
)),
PRICING[Standard Use Rate (oz/M)]
),
2
))</f>
        <v>0.02</v>
      </c>
      <c r="U38" s="43">
        <f t="shared" si="15"/>
        <v>0.87</v>
      </c>
      <c r="V38" s="43" t="str">
        <f>IF(AND(TRIM(U38)&lt;&gt;"",TRIM(H38)&lt;&gt;""),ROUND(H38*INDEX(PRICING[Package Ounces],MATCH(A38,PRICING[SKU],0))/U38,2),"")</f>
        <v/>
      </c>
      <c r="W38" s="249">
        <f t="shared" si="16"/>
        <v>0</v>
      </c>
      <c r="X38" s="250">
        <f t="shared" si="10"/>
        <v>0</v>
      </c>
    </row>
    <row r="39" spans="1:58" ht="18.5" customHeight="1" x14ac:dyDescent="0.2">
      <c r="A39" s="253">
        <v>11008520</v>
      </c>
      <c r="B39" s="254" t="b">
        <f t="shared" si="8"/>
        <v>0</v>
      </c>
      <c r="D39" s="75" t="str" cm="1">
        <f t="array" ref="D39">IFERROR(
    _xlfn.TEXTJOIN(
        "; ",
        TRUE,
        _xlfn._xlws.FILTER(
            TEXT(PRICING[Rebate $],"$#,##0.00") &amp;
            " off on " &amp;
            IF(
                (PRICING[Min Qty]="") + (PRICING[Min Qty]=0),
                "1 unit",
                PRICING[Min Qty] &amp; " units"
            ),
            (PRICING[SKU]=$A39) *
            (PRICING[Rebate $]&lt;&gt;"") *
            (PRICING[Rebate $]&lt;&gt;0)
        )
    ),
    "n/a"
)</f>
        <v>$10.00 off on 8+ units</v>
      </c>
      <c r="E39" s="44" t="str">
        <f>_xlfn.XLOOKUP(A39, PRICING[SKU], PRICING[Product], "")</f>
        <v xml:space="preserve">Triple Crown® T&amp;O Insecticide </v>
      </c>
      <c r="F39" s="45" t="str">
        <f>_xlfn.XLOOKUP(A39, PRICING[SKU], PRICING[Size], "")</f>
        <v xml:space="preserve">1 gal </v>
      </c>
      <c r="G39" s="37" t="str">
        <f>IF(_xlfn.XLOOKUP(A39,PRICING[SKU],PRICING[Indication])="I","Insecticide",
 IF(_xlfn.XLOOKUP(A39,PRICING[SKU],PRICING[Indication])="H","Herbicide",
 IF(_xlfn.XLOOKUP(A39,PRICING[SKU],PRICING[Indication])="F","Fungicide",
 IF(_xlfn.XLOOKUP(A39,PRICING[SKU],PRICING[Indication])="PGR","PGR",""))))</f>
        <v>Insecticide</v>
      </c>
      <c r="H39" s="46"/>
      <c r="I39" s="38">
        <f>INDEX(PRICING[2026 In-Season Price],MATCH(A39,PRICING[SKU],0))</f>
        <v>371.2</v>
      </c>
      <c r="J39" s="39" t="str">
        <f t="shared" si="11"/>
        <v/>
      </c>
      <c r="K39" s="39">
        <f>INDEX(PRICING[NOW Price],MATCH(A39,PRICING[SKU],0))</f>
        <v>371.2</v>
      </c>
      <c r="L39" s="39" t="str">
        <f t="shared" si="12"/>
        <v/>
      </c>
      <c r="M39" s="40">
        <f>INDEX(Rebate_Lookup[Instances],MATCH(A39,Rebate_Lookup[SKU CODE],0))</f>
        <v>2</v>
      </c>
      <c r="N39" s="40" t="str">
        <f>IF(H39="","",INDEX(Rebate_Lookup[Qualified Rebate Tier],MATCH(A39,Rebate_Lookup[SKU CODE],0)))</f>
        <v/>
      </c>
      <c r="O39" s="39" t="str">
        <f>IF(OR(H39="",N39=""),"",
IF(N39=1,INDEX(Rebate_Lookup[REB_MOQ_1],MATCH(A39,Rebate_Lookup[SKU CODE],0)),
IF(N39=2,INDEX(Rebate_Lookup[REB_MOQ_2],MATCH(A39,Rebate_Lookup[SKU CODE],0)),
IF(N39=3,INDEX(Rebate_Lookup[REB_MOQ_3],MATCH(A39,Rebate_Lookup[SKU CODE],0)),
IF(N39=4,INDEX(Rebate_Lookup[REB_MOQ_4],MATCH(A39,Rebate_Lookup[SKU CODE],0)),
"#err")))))</f>
        <v/>
      </c>
      <c r="P39" s="41" t="str">
        <f>IF(L41&gt;5000,IF(OR(O39=0,O39=""),"",ROUND(H39*O39,2)),"")</f>
        <v/>
      </c>
      <c r="Q39" s="41" t="str">
        <f>IF(
    H39&gt;0,
    IF(
        ISNUMBER(SEARCH("*Specticle**FLO*",E39)),
        IF(
            AND(_xlfn.XLOOKUP(A39,PRICING[SKU],PRICING[October Bonus],FALSE),$R$10="YES"),
            ROUND(L39*$G$86,2),
            "N/A"
        ),
        IFERROR(IF(_xlfn.XLOOKUP(A39,PRICING[SKU],PRICING[October Bonus],FALSE),ROUND(L39*SUM($G$83:$G$86),2),ROUND(L39*SUM($G$83:$G$85),2)),"")
    ),
    ""
)</f>
        <v/>
      </c>
      <c r="R39" s="39" t="str">
        <f t="shared" si="13"/>
        <v/>
      </c>
      <c r="S39" s="42" t="str">
        <f t="shared" si="14"/>
        <v/>
      </c>
      <c r="T39" s="271" cm="1">
        <f t="array" ref="T39">IF(OR(H39="",H39=0),
ROUND(_xlfn.XLOOKUP(1,(PRICING[SKU]=A39)*(PRICING[Set]=1),PRICING[Standard Use Rate (oz/M)]),2),ROUND(
_xlfn.XLOOKUP(
1,
(PRICING[SKU]=A39)*
(PRICING[Set]=IF(
_xlfn.XLOOKUP(A39,Rebate_Lookup[SKU CODE],Rebate_Lookup[MOQ_2])=0,
1,
IF(
AND(
_xlfn.XLOOKUP(A39,Rebate_Lookup[SKU CODE],Rebate_Lookup[MOQ_3])=0,
H39&gt;=_xlfn.XLOOKUP(A39,Rebate_Lookup[SKU CODE],Rebate_Lookup[MOQ_2])
),
2,
IF(
AND(
H39&gt;=_xlfn.XLOOKUP(A39,Rebate_Lookup[SKU CODE],Rebate_Lookup[MOQ_1]),
H39&lt;_xlfn.XLOOKUP(A39,Rebate_Lookup[SKU CODE],Rebate_Lookup[MOQ_2])
),
1,
IF(
AND(
H39&gt;=_xlfn.XLOOKUP(A39,Rebate_Lookup[SKU CODE],Rebate_Lookup[MOQ_2]),
OR(
_xlfn.XLOOKUP(A39,Rebate_Lookup[SKU CODE],Rebate_Lookup[MOQ_3])=0,
H39&lt;_xlfn.XLOOKUP(A39,Rebate_Lookup[SKU CODE],Rebate_Lookup[MOQ_3])
)
),
2,
IF(
OR(
AND(
_xlfn.XLOOKUP(A39,Rebate_Lookup[SKU CODE],Rebate_Lookup[MOQ_4])=0,
H39&gt;=_xlfn.XLOOKUP(A39,Rebate_Lookup[SKU CODE],Rebate_Lookup[MOQ_3])
),
AND(
_xlfn.XLOOKUP(A39,Rebate_Lookup[SKU CODE],Rebate_Lookup[MOQ_4])&gt;0,
H39&gt;=_xlfn.XLOOKUP(A39,Rebate_Lookup[SKU CODE],Rebate_Lookup[MOQ_3]),
H39&lt;_xlfn.XLOOKUP(A39,Rebate_Lookup[SKU CODE],Rebate_Lookup[MOQ_4])
)
),
3,
IF(
AND(
_xlfn.XLOOKUP(A39,Rebate_Lookup[SKU CODE],Rebate_Lookup[MOQ_4])&gt;0,
H39&gt;=_xlfn.XLOOKUP(A39,Rebate_Lookup[SKU CODE],Rebate_Lookup[MOQ_4])
),
4,
1
)
)
)
)
)
)),
PRICING[Standard Use Rate (oz/M)]
),
2
))</f>
        <v>0.46</v>
      </c>
      <c r="U39" s="43">
        <f t="shared" si="15"/>
        <v>20.04</v>
      </c>
      <c r="V39" s="43" t="str">
        <f>IF(AND(TRIM(U39)&lt;&gt;"",TRIM(H39)&lt;&gt;""),ROUND(H39*INDEX(PRICING[Package Ounces],MATCH(A39,PRICING[SKU],0))/U39,2),"")</f>
        <v/>
      </c>
      <c r="W39" s="249">
        <f t="shared" si="16"/>
        <v>0</v>
      </c>
      <c r="X39" s="250">
        <f t="shared" si="10"/>
        <v>0</v>
      </c>
    </row>
    <row r="40" spans="1:58" ht="18.5" customHeight="1" thickBot="1" x14ac:dyDescent="0.25">
      <c r="A40" s="255">
        <v>11008590</v>
      </c>
      <c r="B40" s="254" t="b">
        <f t="shared" si="8"/>
        <v>0</v>
      </c>
      <c r="D40" s="75" t="str" cm="1">
        <f t="array" ref="D40">IFERROR(
    _xlfn.TEXTJOIN(
        "; ",
        TRUE,
        _xlfn._xlws.FILTER(
            TEXT(PRICING[Rebate $],"$#,##0.00") &amp;
            " off on " &amp;
            IF(
                (PRICING[Min Qty]="") + (PRICING[Min Qty]=0),
                "1 unit",
                PRICING[Min Qty] &amp; " units"
            ),
            (PRICING[SKU]=$A40) *
            (PRICING[Rebate $]&lt;&gt;"") *
            (PRICING[Rebate $]&lt;&gt;0)
        )
    ),
    "n/a"
)</f>
        <v>$25.00 off on 1-23 units; $50.00 off on 24+ units</v>
      </c>
      <c r="E40" s="44" t="str">
        <f>_xlfn.XLOOKUP(A40, PRICING[SKU], PRICING[Product], "")</f>
        <v>Xonerate® 2SC Herbicide</v>
      </c>
      <c r="F40" s="45" t="str">
        <f>_xlfn.XLOOKUP(A40, PRICING[SKU], PRICING[Size], "")</f>
        <v>12 oz</v>
      </c>
      <c r="G40" s="37" t="str">
        <f>IF(_xlfn.XLOOKUP(A40,PRICING[SKU],PRICING[Indication])="I","Insecticide",
 IF(_xlfn.XLOOKUP(A40,PRICING[SKU],PRICING[Indication])="H","Herbicide",
 IF(_xlfn.XLOOKUP(A40,PRICING[SKU],PRICING[Indication])="F","Fungicide",
 IF(_xlfn.XLOOKUP(A40,PRICING[SKU],PRICING[Indication])="PGR","PGR",""))))</f>
        <v>Herbicide</v>
      </c>
      <c r="H40" s="46"/>
      <c r="I40" s="38">
        <f>INDEX(PRICING[2026 In-Season Price],MATCH(A40,PRICING[SKU],0))</f>
        <v>496.32</v>
      </c>
      <c r="J40" s="39" t="str">
        <f t="shared" si="11"/>
        <v/>
      </c>
      <c r="K40" s="39">
        <f>INDEX(PRICING[NOW Price],MATCH(A40,PRICING[SKU],0))</f>
        <v>351.12</v>
      </c>
      <c r="L40" s="39" t="str">
        <f t="shared" si="12"/>
        <v/>
      </c>
      <c r="M40" s="40">
        <f>INDEX(Rebate_Lookup[Instances],MATCH(A40,Rebate_Lookup[SKU CODE],0))</f>
        <v>2</v>
      </c>
      <c r="N40" s="40" t="str">
        <f>IF(H40="","",INDEX(Rebate_Lookup[Qualified Rebate Tier],MATCH(A40,Rebate_Lookup[SKU CODE],0)))</f>
        <v/>
      </c>
      <c r="O40" s="39" t="str">
        <f>IF(OR(H40="",N40=""),"",
IF(N40=1,INDEX(Rebate_Lookup[REB_MOQ_1],MATCH(A40,Rebate_Lookup[SKU CODE],0)),
IF(N40=2,INDEX(Rebate_Lookup[REB_MOQ_2],MATCH(A40,Rebate_Lookup[SKU CODE],0)),
IF(N40=3,INDEX(Rebate_Lookup[REB_MOQ_3],MATCH(A40,Rebate_Lookup[SKU CODE],0)),
IF(N40=4,INDEX(Rebate_Lookup[REB_MOQ_4],MATCH(A40,Rebate_Lookup[SKU CODE],0)),
"#err")))))</f>
        <v/>
      </c>
      <c r="P40" s="41" t="str">
        <f>IF(L41&gt;5000,IF(OR(O40=0,O40=""),"",ROUND(H40*O40,2)),"")</f>
        <v/>
      </c>
      <c r="Q40" s="41" t="str">
        <f>IF(
    H40&gt;0,
    IF(
        ISNUMBER(SEARCH("*Specticle**FLO*",E40)),
        IF(
            AND(_xlfn.XLOOKUP(A40,PRICING[SKU],PRICING[October Bonus],FALSE),$R$10="YES"),
            ROUND(L40*$G$86,2),
            "N/A"
        ),
        IFERROR(IF(_xlfn.XLOOKUP(A40,PRICING[SKU],PRICING[October Bonus],FALSE),ROUND(L40*SUM($G$83:$G$86),2),ROUND(L40*SUM($G$83:$G$85),2)),"")
    ),
    ""
)</f>
        <v/>
      </c>
      <c r="R40" s="39" t="str">
        <f t="shared" si="13"/>
        <v/>
      </c>
      <c r="S40" s="42" t="str">
        <f t="shared" si="14"/>
        <v/>
      </c>
      <c r="T40" s="271" cm="1">
        <f t="array" ref="T40">IF(OR(H40="",H40=0),
ROUND(_xlfn.XLOOKUP(1,(PRICING[SKU]=A40)*(PRICING[Set]=1),PRICING[Standard Use Rate (oz/M)]),2),ROUND(
_xlfn.XLOOKUP(
1,
(PRICING[SKU]=A40)*
(PRICING[Set]=IF(
_xlfn.XLOOKUP(A40,Rebate_Lookup[SKU CODE],Rebate_Lookup[MOQ_2])=0,
1,
IF(
AND(
_xlfn.XLOOKUP(A40,Rebate_Lookup[SKU CODE],Rebate_Lookup[MOQ_3])=0,
H40&gt;=_xlfn.XLOOKUP(A40,Rebate_Lookup[SKU CODE],Rebate_Lookup[MOQ_2])
),
2,
IF(
AND(
H40&gt;=_xlfn.XLOOKUP(A40,Rebate_Lookup[SKU CODE],Rebate_Lookup[MOQ_1]),
H40&lt;_xlfn.XLOOKUP(A40,Rebate_Lookup[SKU CODE],Rebate_Lookup[MOQ_2])
),
1,
IF(
AND(
H40&gt;=_xlfn.XLOOKUP(A40,Rebate_Lookup[SKU CODE],Rebate_Lookup[MOQ_2]),
OR(
_xlfn.XLOOKUP(A40,Rebate_Lookup[SKU CODE],Rebate_Lookup[MOQ_3])=0,
H40&lt;_xlfn.XLOOKUP(A40,Rebate_Lookup[SKU CODE],Rebate_Lookup[MOQ_3])
)
),
2,
IF(
OR(
AND(
_xlfn.XLOOKUP(A40,Rebate_Lookup[SKU CODE],Rebate_Lookup[MOQ_4])=0,
H40&gt;=_xlfn.XLOOKUP(A40,Rebate_Lookup[SKU CODE],Rebate_Lookup[MOQ_3])
),
AND(
_xlfn.XLOOKUP(A40,Rebate_Lookup[SKU CODE],Rebate_Lookup[MOQ_4])&gt;0,
H40&gt;=_xlfn.XLOOKUP(A40,Rebate_Lookup[SKU CODE],Rebate_Lookup[MOQ_3]),
H40&lt;_xlfn.XLOOKUP(A40,Rebate_Lookup[SKU CODE],Rebate_Lookup[MOQ_4])
)
),
3,
IF(
AND(
_xlfn.XLOOKUP(A40,Rebate_Lookup[SKU CODE],Rebate_Lookup[MOQ_4])&gt;0,
H40&gt;=_xlfn.XLOOKUP(A40,Rebate_Lookup[SKU CODE],Rebate_Lookup[MOQ_4])
),
4,
1
)
)
)
)
)
)),
PRICING[Standard Use Rate (oz/M)]
),
2
))</f>
        <v>0.32</v>
      </c>
      <c r="U40" s="43">
        <f t="shared" si="15"/>
        <v>13.94</v>
      </c>
      <c r="V40" s="43" t="str">
        <f>IF(AND(TRIM(U40)&lt;&gt;"",TRIM(H40)&lt;&gt;""),ROUND(H40*INDEX(PRICING[Package Ounces],MATCH(A40,PRICING[SKU],0))/U40,2),"")</f>
        <v/>
      </c>
      <c r="W40" s="249">
        <f t="shared" si="16"/>
        <v>0</v>
      </c>
      <c r="X40" s="250">
        <f t="shared" si="10"/>
        <v>0</v>
      </c>
    </row>
    <row r="41" spans="1:58" ht="27" customHeight="1" thickTop="1" thickBot="1" x14ac:dyDescent="0.25">
      <c r="A41" s="257"/>
      <c r="B41" s="258"/>
      <c r="D41" s="47"/>
      <c r="E41" s="48"/>
      <c r="F41" s="48"/>
      <c r="G41" s="48"/>
      <c r="H41" s="48"/>
      <c r="I41" s="48"/>
      <c r="J41" s="49">
        <f>SUM(J15:J40)</f>
        <v>0</v>
      </c>
      <c r="K41" s="48"/>
      <c r="L41" s="49">
        <f>SUM(L15:L40)</f>
        <v>0</v>
      </c>
      <c r="M41" s="48"/>
      <c r="N41" s="48"/>
      <c r="O41" s="48"/>
      <c r="P41" s="49">
        <f>SUM(P15:P40)</f>
        <v>0</v>
      </c>
      <c r="Q41" s="49">
        <f>SUM(Q15:Q40)</f>
        <v>0</v>
      </c>
      <c r="R41" s="48"/>
      <c r="S41" s="49">
        <f>SUM(S15:S40)</f>
        <v>0</v>
      </c>
      <c r="T41" s="48"/>
      <c r="U41" s="48"/>
      <c r="V41" s="48"/>
      <c r="W41" s="48"/>
      <c r="X41" s="50"/>
    </row>
    <row r="42" spans="1:58" ht="13" customHeight="1" x14ac:dyDescent="0.25">
      <c r="F42" s="51"/>
      <c r="G42" s="51"/>
      <c r="H42" s="51"/>
      <c r="R42" s="52"/>
      <c r="S42" s="52"/>
      <c r="T42" s="52"/>
      <c r="U42" s="52"/>
      <c r="V42" s="52"/>
      <c r="W42" s="52"/>
      <c r="X42" s="52"/>
    </row>
    <row r="43" spans="1:58" s="111" customFormat="1" ht="21" customHeight="1" thickBot="1" x14ac:dyDescent="0.25">
      <c r="A43" s="148"/>
      <c r="B43" s="149"/>
      <c r="D43" s="112" t="s">
        <v>57</v>
      </c>
      <c r="J43" s="33" t="s">
        <v>22</v>
      </c>
      <c r="M43" s="33" t="s">
        <v>22</v>
      </c>
      <c r="N43" s="33" t="s">
        <v>22</v>
      </c>
      <c r="O43" s="33" t="s">
        <v>22</v>
      </c>
    </row>
    <row r="44" spans="1:58" ht="53.25" customHeight="1" thickBot="1" x14ac:dyDescent="0.25">
      <c r="A44" s="251" t="s">
        <v>58</v>
      </c>
      <c r="B44" s="252" t="s">
        <v>24</v>
      </c>
      <c r="D44" s="269" t="s">
        <v>59</v>
      </c>
      <c r="E44" s="113" t="s">
        <v>26</v>
      </c>
      <c r="F44" s="114" t="s">
        <v>27</v>
      </c>
      <c r="G44" s="114" t="s">
        <v>28</v>
      </c>
      <c r="H44" s="107" t="s">
        <v>29</v>
      </c>
      <c r="I44" s="108" t="s">
        <v>60</v>
      </c>
      <c r="J44" s="108" t="s">
        <v>61</v>
      </c>
      <c r="K44" s="108" t="s">
        <v>62</v>
      </c>
      <c r="L44" s="108" t="s">
        <v>63</v>
      </c>
      <c r="M44" s="108" t="s">
        <v>64</v>
      </c>
      <c r="N44" s="115" t="s">
        <v>65</v>
      </c>
      <c r="O44" s="115" t="s">
        <v>35</v>
      </c>
      <c r="P44" s="108" t="s">
        <v>66</v>
      </c>
      <c r="Q44" s="116" t="s">
        <v>67</v>
      </c>
      <c r="R44" s="117"/>
      <c r="S44" s="118"/>
      <c r="T44" s="119" t="s">
        <v>41</v>
      </c>
      <c r="U44" s="120" t="s">
        <v>42</v>
      </c>
      <c r="V44" s="120" t="s">
        <v>43</v>
      </c>
      <c r="W44" s="120" t="s">
        <v>44</v>
      </c>
      <c r="X44" s="121" t="s">
        <v>45</v>
      </c>
      <c r="Y44" s="90"/>
      <c r="AC44" s="90"/>
      <c r="AD44" s="90"/>
      <c r="AE44" s="90"/>
      <c r="AF44" s="90"/>
      <c r="AG44" s="90"/>
      <c r="AH44" s="90"/>
      <c r="AI44" s="90"/>
      <c r="AJ44" s="90"/>
      <c r="AK44" s="90"/>
      <c r="AL44" s="90"/>
      <c r="AM44" s="90"/>
      <c r="AN44" s="90"/>
      <c r="AO44" s="90"/>
      <c r="AP44" s="90"/>
      <c r="AQ44" s="90"/>
      <c r="AR44" s="90"/>
      <c r="AS44" s="90"/>
      <c r="AT44" s="90"/>
      <c r="AU44" s="90"/>
      <c r="AV44" s="90"/>
      <c r="AW44" s="90"/>
      <c r="AX44" s="90"/>
      <c r="AY44" s="90"/>
      <c r="AZ44" s="90"/>
      <c r="BA44" s="90"/>
      <c r="BB44" s="90"/>
      <c r="BC44" s="90"/>
      <c r="BD44" s="90"/>
      <c r="BE44" s="90"/>
      <c r="BF44" s="90"/>
    </row>
    <row r="45" spans="1:58" ht="18" customHeight="1" x14ac:dyDescent="0.2">
      <c r="A45" s="253">
        <v>87300722</v>
      </c>
      <c r="B45" s="259" t="b">
        <f>H45&gt;0</f>
        <v>0</v>
      </c>
      <c r="D45" s="268" t="str" cm="1">
        <f t="array" ref="D45">IFERROR(
    _xlfn.TEXTJOIN(
        "; ",
        TRUE,
        _xlfn._xlws.FILTER(
            IF(
                ISNUMBER(SEARCH("Terradex",E45)),
                TEXT(ROUND(PRICING[Rebate $]/AB45,2),"$#,##0.00")&amp;
                " off per gal with "&amp;
                SUBSTITUTE(PRICING[Min Qty]," gal","")&amp;
                " + Terradex gallons",
                TEXT(PRICING[Rebate $],"$#,##0.00")&amp;
                " off on "&amp;
                IF(
                    (PRICING[Min Qty]="")+(PRICING[Min Qty]=0),
                    "1 unit",
                    PRICING[Min Qty]&amp;" units"
                )
            ),
            (PRICING[SKU]=$A45)*
            (
                ISNUMBER(SEARCH("Terradex",E45))+
                (
                    (PRICING[Rebate $]&lt;&gt;"")*
                    (PRICING[Rebate $]&lt;&gt;0)
                )
            )
        )
    ),
    "n/a"
)</f>
        <v>$68.00 off on 1 unit</v>
      </c>
      <c r="E45" s="122" t="str">
        <f>_xlfn.XLOOKUP(A45, PRICING[SKU], PRICING[Product], "")</f>
        <v>Acclaim Extra®</v>
      </c>
      <c r="F45" s="37" t="str">
        <f>_xlfn.XLOOKUP(A45, PRICING[SKU], PRICING[Size], "")</f>
        <v>1 gal</v>
      </c>
      <c r="G45" s="123" t="str">
        <f>IF(_xlfn.XLOOKUP(A45,PRICING[SKU],PRICING[Indication])="I","Insecticide",
 IF(_xlfn.XLOOKUP(A45,PRICING[SKU],PRICING[Indication])="H","Herbicide",
 IF(_xlfn.XLOOKUP(A45,PRICING[SKU],PRICING[Indication])="F","Fungicide",
 IF(_xlfn.XLOOKUP(A45,PRICING[SKU],PRICING[Indication])="PGR","PGR",""))))</f>
        <v>Herbicide</v>
      </c>
      <c r="H45" s="109"/>
      <c r="I45" s="110"/>
      <c r="J45" s="38">
        <f>INDEX(PRICING[NOW Price],MATCH(A45,PRICING[SKU],0))</f>
        <v>678.5</v>
      </c>
      <c r="K45" s="38" t="str">
        <f>IF(OR(H45="",O45=""),"",
IF(O45=1,INDEX(Rebate_Lookup[REB_MOQ_1],MATCH(A45,Rebate_Lookup[SKU CODE],0)),
IF(O45=2,INDEX(Rebate_Lookup[REB_MOQ_2],MATCH(A45,Rebate_Lookup[SKU CODE],0)),
IF(O45=3,INDEX(Rebate_Lookup[REB_MOQ_3],MATCH(A45,Rebate_Lookup[SKU CODE],0)),
IF(O45=4,INDEX(Rebate_Lookup[REB_MOQ_4],MATCH(A45,Rebate_Lookup[SKU CODE],0)),
"#err")))))</f>
        <v/>
      </c>
      <c r="L45" s="38" t="str">
        <f>IF(H45*I45= 0,"",ROUND(H45*I45,2))</f>
        <v/>
      </c>
      <c r="M45" s="124" t="str">
        <f>IF(OR(H45=0,J45=""),"",ROUND(H45*J45,2))</f>
        <v/>
      </c>
      <c r="N45" s="125" t="str">
        <f>IF(OR(H45=0,H45=""),"",M45)</f>
        <v/>
      </c>
      <c r="O45" s="270" t="str">
        <f>IF(H45="","",INDEX(Rebate_Lookup[Qualified Rebate Tier],MATCH(A45,Rebate_Lookup[SKU CODE],0)))</f>
        <v/>
      </c>
      <c r="P45" s="38" t="str">
        <f>IF(
    K45="",
    IF(OR(H45=0,H45=""),"",L45),
    IF(OR(H45=0,H45=""),"",ROUND((I45-K45)*H45,2))
)</f>
        <v/>
      </c>
      <c r="Q45" s="126" t="str">
        <f>IF(OR(ISBLANK(H45),ISBLANK(I45)),"",ROUND(P45/H45,2))</f>
        <v/>
      </c>
      <c r="R45" s="127"/>
      <c r="S45" s="128"/>
      <c r="T45" s="272" cm="1">
        <f t="array" ref="T45">IF(OR(H45="",H45=0),
ROUND(_xlfn.XLOOKUP(1,(PRICING[SKU]=A45)*(PRICING[Set]=1),PRICING[Standard Use Rate (oz/M)]),2),ROUND(
_xlfn.XLOOKUP(
1,
(PRICING[SKU]=A45)*
(PRICING[Set]=IF(
_xlfn.XLOOKUP(A45,Rebate_Lookup[SKU CODE],Rebate_Lookup[MOQ_2])=0,
1,
IF(
AND(
_xlfn.XLOOKUP(A45,Rebate_Lookup[SKU CODE],Rebate_Lookup[MOQ_3])=0,
H45&gt;=_xlfn.XLOOKUP(A45,Rebate_Lookup[SKU CODE],Rebate_Lookup[MOQ_2])
),
2,
IF(
AND(
H45&gt;=_xlfn.XLOOKUP(A45,Rebate_Lookup[SKU CODE],Rebate_Lookup[MOQ_1]),
H45&lt;_xlfn.XLOOKUP(A45,Rebate_Lookup[SKU CODE],Rebate_Lookup[MOQ_2])
),
1,
IF(
AND(
H45&gt;=_xlfn.XLOOKUP(A45,Rebate_Lookup[SKU CODE],Rebate_Lookup[MOQ_2]),
OR(
_xlfn.XLOOKUP(A45,Rebate_Lookup[SKU CODE],Rebate_Lookup[MOQ_3])=0,
H45&lt;_xlfn.XLOOKUP(A45,Rebate_Lookup[SKU CODE],Rebate_Lookup[MOQ_3])
)
),
2,
IF(
OR(
AND(
_xlfn.XLOOKUP(A45,Rebate_Lookup[SKU CODE],Rebate_Lookup[MOQ_4])=0,
H45&gt;=_xlfn.XLOOKUP(A45,Rebate_Lookup[SKU CODE],Rebate_Lookup[MOQ_3])
),
AND(
_xlfn.XLOOKUP(A45,Rebate_Lookup[SKU CODE],Rebate_Lookup[MOQ_4])&gt;0,
H45&gt;=_xlfn.XLOOKUP(A45,Rebate_Lookup[SKU CODE],Rebate_Lookup[MOQ_3]),
H45&lt;_xlfn.XLOOKUP(A45,Rebate_Lookup[SKU CODE],Rebate_Lookup[MOQ_4])
)
),
3,
IF(
AND(
_xlfn.XLOOKUP(A45,Rebate_Lookup[SKU CODE],Rebate_Lookup[MOQ_4])&gt;0,
H45&gt;=_xlfn.XLOOKUP(A45,Rebate_Lookup[SKU CODE],Rebate_Lookup[MOQ_4])
),
4,
1
)
)
)
)
)
)),
PRICING[Standard Use Rate (oz/M)]
),
2
))</f>
        <v>0.46</v>
      </c>
      <c r="U45" s="129">
        <f>ROUND(T45*43.56,2)</f>
        <v>20.04</v>
      </c>
      <c r="V45" s="129" t="str">
        <f>IF(AND(TRIM(U45)&lt;&gt;"",TRIM(H45)&lt;&gt;""),ROUND(H45*INDEX(PRICING[Package Ounces],MATCH(A45,PRICING[SKU],0))/U45,2),"")</f>
        <v/>
      </c>
      <c r="W45" s="247">
        <f t="shared" ref="W45:W57" si="17">IF(H45&lt;&gt;0,ROUND(P45/V45,2),0)</f>
        <v>0</v>
      </c>
      <c r="X45" s="248">
        <f t="shared" ref="X45:X68" si="18">ROUND(W45/43.56,2)</f>
        <v>0</v>
      </c>
      <c r="Y45" s="90"/>
      <c r="AC45" s="90"/>
      <c r="AD45" s="90"/>
      <c r="AE45" s="90"/>
      <c r="AF45" s="90"/>
      <c r="AG45" s="90"/>
      <c r="AH45" s="90"/>
      <c r="AI45" s="90"/>
      <c r="AJ45" s="90"/>
      <c r="AK45" s="90"/>
      <c r="AL45" s="90"/>
      <c r="AM45" s="90"/>
      <c r="AN45" s="90"/>
      <c r="AO45" s="90"/>
      <c r="AP45" s="90"/>
      <c r="AQ45" s="90"/>
      <c r="AR45" s="90"/>
      <c r="AS45" s="90"/>
      <c r="AT45" s="90"/>
      <c r="AU45" s="90"/>
      <c r="AV45" s="90"/>
      <c r="AW45" s="90"/>
      <c r="AX45" s="90"/>
      <c r="AY45" s="90"/>
      <c r="AZ45" s="90"/>
      <c r="BA45" s="90"/>
      <c r="BB45" s="90"/>
      <c r="BC45" s="90"/>
      <c r="BD45" s="90"/>
      <c r="BE45" s="90"/>
      <c r="BF45" s="90"/>
    </row>
    <row r="46" spans="1:58" ht="18" customHeight="1" x14ac:dyDescent="0.2">
      <c r="A46" s="255">
        <v>7271250</v>
      </c>
      <c r="B46" s="259" t="b">
        <f t="shared" ref="B46:B68" si="19">H46&gt;0</f>
        <v>0</v>
      </c>
      <c r="D46" s="268" t="str" cm="1">
        <f t="array" ref="D46">IFERROR(
    _xlfn.TEXTJOIN(
        "; ",
        TRUE,
        _xlfn._xlws.FILTER(
            IF(
                ISNUMBER(SEARCH("Terradex",E46)),
                TEXT(ROUND(PRICING[Rebate $]/AB46,2),"$#,##0.00")&amp;
                " off per gal with "&amp;
                SUBSTITUTE(PRICING[Min Qty]," gal","")&amp;
                " + Terradex gallons",
                TEXT(PRICING[Rebate $],"$#,##0.00")&amp;
                " off on "&amp;
                IF(
                    (PRICING[Min Qty]="")+(PRICING[Min Qty]=0),
                    "1 unit",
                    PRICING[Min Qty]&amp;" units"
                )
            ),
            (PRICING[SKU]=$A46)*
            (
                ISNUMBER(SEARCH("Terradex",E46))+
                (
                    (PRICING[Rebate $]&lt;&gt;"")*
                    (PRICING[Rebate $]&lt;&gt;0)
                )
            )
        )
    ),
    "n/a"
)</f>
        <v>$10.00 off on 1 unit</v>
      </c>
      <c r="E46" s="122" t="str">
        <f>_xlfn.XLOOKUP(A46, PRICING[SKU], PRICING[Product], "")</f>
        <v>Acclaim Extra®</v>
      </c>
      <c r="F46" s="37" t="str">
        <f>_xlfn.XLOOKUP(A46, PRICING[SKU], PRICING[Size], "")</f>
        <v>16 oz</v>
      </c>
      <c r="G46" s="123" t="str">
        <f>IF(_xlfn.XLOOKUP(A46,PRICING[SKU],PRICING[Indication])="I","Insecticide",
 IF(_xlfn.XLOOKUP(A46,PRICING[SKU],PRICING[Indication])="H","Herbicide",
 IF(_xlfn.XLOOKUP(A46,PRICING[SKU],PRICING[Indication])="F","Fungicide",
 IF(_xlfn.XLOOKUP(A46,PRICING[SKU],PRICING[Indication])="PGR","PGR",""))))</f>
        <v>Herbicide</v>
      </c>
      <c r="H46" s="109"/>
      <c r="I46" s="110"/>
      <c r="J46" s="38">
        <f>INDEX(PRICING[NOW Price],MATCH(A46,PRICING[SKU],0))</f>
        <v>95.68</v>
      </c>
      <c r="K46" s="38" t="str">
        <f>IF(OR(H46="",O46=""),"",
IF(O46=1,INDEX(Rebate_Lookup[REB_MOQ_1],MATCH(A46,Rebate_Lookup[SKU CODE],0)),
IF(O46=2,INDEX(Rebate_Lookup[REB_MOQ_2],MATCH(A46,Rebate_Lookup[SKU CODE],0)),
IF(O46=3,INDEX(Rebate_Lookup[REB_MOQ_3],MATCH(A46,Rebate_Lookup[SKU CODE],0)),
IF(O46=4,INDEX(Rebate_Lookup[REB_MOQ_4],MATCH(A46,Rebate_Lookup[SKU CODE],0)),
"#err")))))</f>
        <v/>
      </c>
      <c r="L46" s="38" t="str">
        <f t="shared" ref="L46:L68" si="20">IF(H46*I46= 0,"",ROUND(H46*I46,2))</f>
        <v/>
      </c>
      <c r="M46" s="124" t="str">
        <f t="shared" ref="M46:M68" si="21">IF(OR(H46=0,J46=""),"",ROUND(H46*J46,2))</f>
        <v/>
      </c>
      <c r="N46" s="125" t="str">
        <f t="shared" ref="N46:N68" si="22">IF(OR(H46=0,H46=""),"",M46)</f>
        <v/>
      </c>
      <c r="O46" s="270" t="str">
        <f>IF(H46="","",INDEX(Rebate_Lookup[Qualified Rebate Tier],MATCH(A46,Rebate_Lookup[SKU CODE],0)))</f>
        <v/>
      </c>
      <c r="P46" s="38" t="str">
        <f t="shared" ref="P46:P68" si="23">IF(
    K46="",
    IF(OR(H46=0,H46=""),"",L46),
    IF(OR(H46=0,H46=""),"",ROUND((I46-K46)*H46,2))
)</f>
        <v/>
      </c>
      <c r="Q46" s="126" t="str">
        <f t="shared" ref="Q46:Q68" si="24">IF(OR(ISBLANK(H46),ISBLANK(I46)),"",ROUND(P46/H46,2))</f>
        <v/>
      </c>
      <c r="R46" s="127"/>
      <c r="S46" s="128"/>
      <c r="T46" s="272" cm="1">
        <f t="array" ref="T46">IF(OR(H46="",H46=0),
ROUND(_xlfn.XLOOKUP(1,(PRICING[SKU]=A46)*(PRICING[Set]=1),PRICING[Standard Use Rate (oz/M)]),2),ROUND(
_xlfn.XLOOKUP(
1,
(PRICING[SKU]=A46)*
(PRICING[Set]=IF(
_xlfn.XLOOKUP(A46,Rebate_Lookup[SKU CODE],Rebate_Lookup[MOQ_2])=0,
1,
IF(
AND(
_xlfn.XLOOKUP(A46,Rebate_Lookup[SKU CODE],Rebate_Lookup[MOQ_3])=0,
H46&gt;=_xlfn.XLOOKUP(A46,Rebate_Lookup[SKU CODE],Rebate_Lookup[MOQ_2])
),
2,
IF(
AND(
H46&gt;=_xlfn.XLOOKUP(A46,Rebate_Lookup[SKU CODE],Rebate_Lookup[MOQ_1]),
H46&lt;_xlfn.XLOOKUP(A46,Rebate_Lookup[SKU CODE],Rebate_Lookup[MOQ_2])
),
1,
IF(
AND(
H46&gt;=_xlfn.XLOOKUP(A46,Rebate_Lookup[SKU CODE],Rebate_Lookup[MOQ_2]),
OR(
_xlfn.XLOOKUP(A46,Rebate_Lookup[SKU CODE],Rebate_Lookup[MOQ_3])=0,
H46&lt;_xlfn.XLOOKUP(A46,Rebate_Lookup[SKU CODE],Rebate_Lookup[MOQ_3])
)
),
2,
IF(
OR(
AND(
_xlfn.XLOOKUP(A46,Rebate_Lookup[SKU CODE],Rebate_Lookup[MOQ_4])=0,
H46&gt;=_xlfn.XLOOKUP(A46,Rebate_Lookup[SKU CODE],Rebate_Lookup[MOQ_3])
),
AND(
_xlfn.XLOOKUP(A46,Rebate_Lookup[SKU CODE],Rebate_Lookup[MOQ_4])&gt;0,
H46&gt;=_xlfn.XLOOKUP(A46,Rebate_Lookup[SKU CODE],Rebate_Lookup[MOQ_3]),
H46&lt;_xlfn.XLOOKUP(A46,Rebate_Lookup[SKU CODE],Rebate_Lookup[MOQ_4])
)
),
3,
IF(
AND(
_xlfn.XLOOKUP(A46,Rebate_Lookup[SKU CODE],Rebate_Lookup[MOQ_4])&gt;0,
H46&gt;=_xlfn.XLOOKUP(A46,Rebate_Lookup[SKU CODE],Rebate_Lookup[MOQ_4])
),
4,
1
)
)
)
)
)
)),
PRICING[Standard Use Rate (oz/M)]
),
2
))</f>
        <v>0.46</v>
      </c>
      <c r="U46" s="129">
        <f t="shared" ref="U46:U67" si="25">ROUND(T46*43.56,2)</f>
        <v>20.04</v>
      </c>
      <c r="V46" s="129" t="str">
        <f>IF(AND(TRIM(U46)&lt;&gt;"",TRIM(H46)&lt;&gt;""),ROUND(H46*INDEX(PRICING[Package Ounces],MATCH(A46,PRICING[SKU],0))/U46,2),"")</f>
        <v/>
      </c>
      <c r="W46" s="247">
        <f t="shared" si="17"/>
        <v>0</v>
      </c>
      <c r="X46" s="248">
        <f t="shared" si="18"/>
        <v>0</v>
      </c>
      <c r="Y46" s="90"/>
      <c r="AC46" s="90"/>
      <c r="AD46" s="90"/>
      <c r="AE46" s="90"/>
      <c r="AF46" s="90"/>
      <c r="AG46" s="90"/>
      <c r="AH46" s="90"/>
      <c r="AI46" s="90"/>
      <c r="AJ46" s="90"/>
      <c r="AK46" s="90"/>
      <c r="AL46" s="90"/>
      <c r="AM46" s="90"/>
      <c r="AN46" s="90"/>
      <c r="AO46" s="90"/>
      <c r="AP46" s="90"/>
      <c r="AQ46" s="90"/>
      <c r="AR46" s="90"/>
      <c r="AS46" s="90"/>
      <c r="AT46" s="90"/>
      <c r="AU46" s="90"/>
      <c r="AV46" s="90"/>
      <c r="AW46" s="90"/>
      <c r="AX46" s="90"/>
      <c r="AY46" s="90"/>
      <c r="AZ46" s="90"/>
      <c r="BA46" s="90"/>
      <c r="BB46" s="90"/>
      <c r="BC46" s="90"/>
      <c r="BD46" s="90"/>
      <c r="BE46" s="90"/>
      <c r="BF46" s="90"/>
    </row>
    <row r="47" spans="1:58" ht="18" customHeight="1" x14ac:dyDescent="0.2">
      <c r="A47" s="253" t="s">
        <v>68</v>
      </c>
      <c r="B47" s="259" t="b">
        <f t="shared" si="19"/>
        <v>0</v>
      </c>
      <c r="D47" s="268" t="str" cm="1">
        <f t="array" ref="D47">IFERROR(
    _xlfn.TEXTJOIN(
        "; ",
        TRUE,
        _xlfn._xlws.FILTER(
            IF(
                ISNUMBER(SEARCH("Terradex",E47)),
                TEXT(ROUND(PRICING[Rebate $]/AB47,2),"$#,##0.00")&amp;
                " off per gal with "&amp;
                SUBSTITUTE(PRICING[Min Qty]," gal","")&amp;
                " + Terradex gallons",
                TEXT(PRICING[Rebate $],"$#,##0.00")&amp;
                " off on "&amp;
                IF(
                    (PRICING[Min Qty]="")+(PRICING[Min Qty]=0),
                    "1 unit",
                    PRICING[Min Qty]&amp;" units"
                )
            ),
            (PRICING[SKU]=$A47)*
            (
                ISNUMBER(SEARCH("Terradex",E47))+
                (
                    (PRICING[Rebate $]&lt;&gt;"")*
                    (PRICING[Rebate $]&lt;&gt;0)
                )
            )
        )
    ),
    "n/a"
)</f>
        <v>n/a</v>
      </c>
      <c r="E47" s="122" t="str">
        <f>_xlfn.XLOOKUP(A47, PRICING[SKU], PRICING[Product], "")</f>
        <v xml:space="preserve">Armada® 50 WDG </v>
      </c>
      <c r="F47" s="37" t="str">
        <f>_xlfn.XLOOKUP(A47, PRICING[SKU], PRICING[Size], "")</f>
        <v>2 lb</v>
      </c>
      <c r="G47" s="123" t="str">
        <f>IF(_xlfn.XLOOKUP(A47,PRICING[SKU],PRICING[Indication])="I","Insecticide",
 IF(_xlfn.XLOOKUP(A47,PRICING[SKU],PRICING[Indication])="H","Herbicide",
 IF(_xlfn.XLOOKUP(A47,PRICING[SKU],PRICING[Indication])="F","Fungicide",
 IF(_xlfn.XLOOKUP(A47,PRICING[SKU],PRICING[Indication])="PGR","PGR",""))))</f>
        <v>Fungicide</v>
      </c>
      <c r="H47" s="109"/>
      <c r="I47" s="110"/>
      <c r="J47" s="38">
        <f>INDEX(PRICING[NOW Price],MATCH(A47,PRICING[SKU],0))</f>
        <v>116.28</v>
      </c>
      <c r="K47" s="38" t="str">
        <f>IF(OR(H47="",O47=""),"",
IF(O47=1,INDEX(Rebate_Lookup[REB_MOQ_1],MATCH(A47,Rebate_Lookup[SKU CODE],0)),
IF(O47=2,INDEX(Rebate_Lookup[REB_MOQ_2],MATCH(A47,Rebate_Lookup[SKU CODE],0)),
IF(O47=3,INDEX(Rebate_Lookup[REB_MOQ_3],MATCH(A47,Rebate_Lookup[SKU CODE],0)),
IF(O47=4,INDEX(Rebate_Lookup[REB_MOQ_4],MATCH(A47,Rebate_Lookup[SKU CODE],0)),
"#err")))))</f>
        <v/>
      </c>
      <c r="L47" s="38" t="str">
        <f t="shared" si="20"/>
        <v/>
      </c>
      <c r="M47" s="124" t="str">
        <f t="shared" si="21"/>
        <v/>
      </c>
      <c r="N47" s="125" t="str">
        <f t="shared" si="22"/>
        <v/>
      </c>
      <c r="O47" s="270" t="str">
        <f>IF(H47="","",INDEX(Rebate_Lookup[Qualified Rebate Tier],MATCH(A47,Rebate_Lookup[SKU CODE],0)))</f>
        <v/>
      </c>
      <c r="P47" s="38" t="str">
        <f t="shared" si="23"/>
        <v/>
      </c>
      <c r="Q47" s="126" t="str">
        <f t="shared" si="24"/>
        <v/>
      </c>
      <c r="R47" s="127"/>
      <c r="S47" s="128"/>
      <c r="T47" s="272" cm="1">
        <f t="array" ref="T47">IF(OR(H47="",H47=0),
ROUND(_xlfn.XLOOKUP(1,(PRICING[SKU]=A47)*(PRICING[Set]=1),PRICING[Standard Use Rate (oz/M)]),2),ROUND(
_xlfn.XLOOKUP(
1,
(PRICING[SKU]=A47)*
(PRICING[Set]=IF(
_xlfn.XLOOKUP(A47,Rebate_Lookup[SKU CODE],Rebate_Lookup[MOQ_2])=0,
1,
IF(
AND(
_xlfn.XLOOKUP(A47,Rebate_Lookup[SKU CODE],Rebate_Lookup[MOQ_3])=0,
H47&gt;=_xlfn.XLOOKUP(A47,Rebate_Lookup[SKU CODE],Rebate_Lookup[MOQ_2])
),
2,
IF(
AND(
H47&gt;=_xlfn.XLOOKUP(A47,Rebate_Lookup[SKU CODE],Rebate_Lookup[MOQ_1]),
H47&lt;_xlfn.XLOOKUP(A47,Rebate_Lookup[SKU CODE],Rebate_Lookup[MOQ_2])
),
1,
IF(
AND(
H47&gt;=_xlfn.XLOOKUP(A47,Rebate_Lookup[SKU CODE],Rebate_Lookup[MOQ_2]),
OR(
_xlfn.XLOOKUP(A47,Rebate_Lookup[SKU CODE],Rebate_Lookup[MOQ_3])=0,
H47&lt;_xlfn.XLOOKUP(A47,Rebate_Lookup[SKU CODE],Rebate_Lookup[MOQ_3])
)
),
2,
IF(
OR(
AND(
_xlfn.XLOOKUP(A47,Rebate_Lookup[SKU CODE],Rebate_Lookup[MOQ_4])=0,
H47&gt;=_xlfn.XLOOKUP(A47,Rebate_Lookup[SKU CODE],Rebate_Lookup[MOQ_3])
),
AND(
_xlfn.XLOOKUP(A47,Rebate_Lookup[SKU CODE],Rebate_Lookup[MOQ_4])&gt;0,
H47&gt;=_xlfn.XLOOKUP(A47,Rebate_Lookup[SKU CODE],Rebate_Lookup[MOQ_3]),
H47&lt;_xlfn.XLOOKUP(A47,Rebate_Lookup[SKU CODE],Rebate_Lookup[MOQ_4])
)
),
3,
IF(
AND(
_xlfn.XLOOKUP(A47,Rebate_Lookup[SKU CODE],Rebate_Lookup[MOQ_4])&gt;0,
H47&gt;=_xlfn.XLOOKUP(A47,Rebate_Lookup[SKU CODE],Rebate_Lookup[MOQ_4])
),
4,
1
)
)
)
)
)
)),
PRICING[Standard Use Rate (oz/M)]
),
2
))</f>
        <v>0.5</v>
      </c>
      <c r="U47" s="129">
        <f t="shared" si="25"/>
        <v>21.78</v>
      </c>
      <c r="V47" s="129" t="str">
        <f>IF(AND(TRIM(U47)&lt;&gt;"",TRIM(H47)&lt;&gt;""),ROUND(H47*INDEX(PRICING[Package Ounces],MATCH(A47,PRICING[SKU],0))/U47,2),"")</f>
        <v/>
      </c>
      <c r="W47" s="247">
        <f t="shared" si="17"/>
        <v>0</v>
      </c>
      <c r="X47" s="248">
        <f t="shared" si="18"/>
        <v>0</v>
      </c>
      <c r="Y47" s="90"/>
      <c r="AC47" s="90"/>
      <c r="AD47" s="90"/>
      <c r="AE47" s="90"/>
      <c r="AF47" s="90"/>
      <c r="AG47" s="90"/>
      <c r="AH47" s="90"/>
      <c r="AI47" s="90"/>
      <c r="AJ47" s="90"/>
      <c r="AK47" s="90"/>
      <c r="AL47" s="90"/>
      <c r="AM47" s="90"/>
      <c r="AN47" s="90"/>
      <c r="AO47" s="90"/>
      <c r="AP47" s="90"/>
      <c r="AQ47" s="90"/>
      <c r="AR47" s="90"/>
      <c r="AS47" s="90"/>
      <c r="AT47" s="90"/>
      <c r="AU47" s="90"/>
      <c r="AV47" s="90"/>
      <c r="AW47" s="90"/>
      <c r="AX47" s="90"/>
      <c r="AY47" s="90"/>
      <c r="AZ47" s="90"/>
      <c r="BA47" s="90"/>
      <c r="BB47" s="90"/>
      <c r="BC47" s="90"/>
      <c r="BD47" s="90"/>
      <c r="BE47" s="90"/>
      <c r="BF47" s="90"/>
    </row>
    <row r="48" spans="1:58" ht="18" customHeight="1" x14ac:dyDescent="0.2">
      <c r="A48" s="255">
        <v>11008351</v>
      </c>
      <c r="B48" s="259" t="b">
        <f t="shared" si="19"/>
        <v>0</v>
      </c>
      <c r="D48" s="268" t="str" cm="1">
        <f t="array" ref="D48">IFERROR(
    _xlfn.TEXTJOIN(
        "; ",
        TRUE,
        _xlfn._xlws.FILTER(
            IF(
                ISNUMBER(SEARCH("Terradex",E48)),
                TEXT(ROUND(PRICING[Rebate $]/AB48,2),"$#,##0.00")&amp;
                " off per gal with "&amp;
                SUBSTITUTE(PRICING[Min Qty]," gal","")&amp;
                " + Terradex gallons",
                TEXT(PRICING[Rebate $],"$#,##0.00")&amp;
                " off on "&amp;
                IF(
                    (PRICING[Min Qty]="")+(PRICING[Min Qty]=0),
                    "1 unit",
                    PRICING[Min Qty]&amp;" units"
                )
            ),
            (PRICING[SKU]=$A48)*
            (
                ISNUMBER(SEARCH("Terradex",E48))+
                (
                    (PRICING[Rebate $]&lt;&gt;"")*
                    (PRICING[Rebate $]&lt;&gt;0)
                )
            )
        )
    ),
    "n/a"
)</f>
        <v>$20.00 off on 1 unit</v>
      </c>
      <c r="E48" s="122" t="str">
        <f>_xlfn.XLOOKUP(A48, PRICING[SKU], PRICING[Product], "")</f>
        <v xml:space="preserve">Blindside® Herbicide </v>
      </c>
      <c r="F48" s="37" t="str">
        <f>_xlfn.XLOOKUP(A48, PRICING[SKU], PRICING[Size], "")</f>
        <v>0.5 lb</v>
      </c>
      <c r="G48" s="123" t="str">
        <f>IF(_xlfn.XLOOKUP(A48,PRICING[SKU],PRICING[Indication])="I","Insecticide",
 IF(_xlfn.XLOOKUP(A48,PRICING[SKU],PRICING[Indication])="H","Herbicide",
 IF(_xlfn.XLOOKUP(A48,PRICING[SKU],PRICING[Indication])="F","Fungicide",
 IF(_xlfn.XLOOKUP(A48,PRICING[SKU],PRICING[Indication])="PGR","PGR",""))))</f>
        <v>Herbicide</v>
      </c>
      <c r="H48" s="109"/>
      <c r="I48" s="110"/>
      <c r="J48" s="38">
        <f>INDEX(PRICING[NOW Price],MATCH(A48,PRICING[SKU],0))</f>
        <v>141.83000000000001</v>
      </c>
      <c r="K48" s="38" t="str">
        <f>IF(OR(H48="",O48=""),"",
IF(O48=1,INDEX(Rebate_Lookup[REB_MOQ_1],MATCH(A48,Rebate_Lookup[SKU CODE],0)),
IF(O48=2,INDEX(Rebate_Lookup[REB_MOQ_2],MATCH(A48,Rebate_Lookup[SKU CODE],0)),
IF(O48=3,INDEX(Rebate_Lookup[REB_MOQ_3],MATCH(A48,Rebate_Lookup[SKU CODE],0)),
IF(O48=4,INDEX(Rebate_Lookup[REB_MOQ_4],MATCH(A48,Rebate_Lookup[SKU CODE],0)),
"#err")))))</f>
        <v/>
      </c>
      <c r="L48" s="38" t="str">
        <f t="shared" si="20"/>
        <v/>
      </c>
      <c r="M48" s="124" t="str">
        <f t="shared" si="21"/>
        <v/>
      </c>
      <c r="N48" s="125" t="str">
        <f t="shared" si="22"/>
        <v/>
      </c>
      <c r="O48" s="270" t="str">
        <f>IF(H48="","",INDEX(Rebate_Lookup[Qualified Rebate Tier],MATCH(A48,Rebate_Lookup[SKU CODE],0)))</f>
        <v/>
      </c>
      <c r="P48" s="38" t="str">
        <f t="shared" si="23"/>
        <v/>
      </c>
      <c r="Q48" s="126" t="str">
        <f t="shared" si="24"/>
        <v/>
      </c>
      <c r="R48" s="127"/>
      <c r="S48" s="128"/>
      <c r="T48" s="272" cm="1">
        <f t="array" ref="T48">IF(OR(H48="",H48=0),
ROUND(_xlfn.XLOOKUP(1,(PRICING[SKU]=A48)*(PRICING[Set]=1),PRICING[Standard Use Rate (oz/M)]),2),ROUND(
_xlfn.XLOOKUP(
1,
(PRICING[SKU]=A48)*
(PRICING[Set]=IF(
_xlfn.XLOOKUP(A48,Rebate_Lookup[SKU CODE],Rebate_Lookup[MOQ_2])=0,
1,
IF(
AND(
_xlfn.XLOOKUP(A48,Rebate_Lookup[SKU CODE],Rebate_Lookup[MOQ_3])=0,
H48&gt;=_xlfn.XLOOKUP(A48,Rebate_Lookup[SKU CODE],Rebate_Lookup[MOQ_2])
),
2,
IF(
AND(
H48&gt;=_xlfn.XLOOKUP(A48,Rebate_Lookup[SKU CODE],Rebate_Lookup[MOQ_1]),
H48&lt;_xlfn.XLOOKUP(A48,Rebate_Lookup[SKU CODE],Rebate_Lookup[MOQ_2])
),
1,
IF(
AND(
H48&gt;=_xlfn.XLOOKUP(A48,Rebate_Lookup[SKU CODE],Rebate_Lookup[MOQ_2]),
OR(
_xlfn.XLOOKUP(A48,Rebate_Lookup[SKU CODE],Rebate_Lookup[MOQ_3])=0,
H48&lt;_xlfn.XLOOKUP(A48,Rebate_Lookup[SKU CODE],Rebate_Lookup[MOQ_3])
)
),
2,
IF(
OR(
AND(
_xlfn.XLOOKUP(A48,Rebate_Lookup[SKU CODE],Rebate_Lookup[MOQ_4])=0,
H48&gt;=_xlfn.XLOOKUP(A48,Rebate_Lookup[SKU CODE],Rebate_Lookup[MOQ_3])
),
AND(
_xlfn.XLOOKUP(A48,Rebate_Lookup[SKU CODE],Rebate_Lookup[MOQ_4])&gt;0,
H48&gt;=_xlfn.XLOOKUP(A48,Rebate_Lookup[SKU CODE],Rebate_Lookup[MOQ_3]),
H48&lt;_xlfn.XLOOKUP(A48,Rebate_Lookup[SKU CODE],Rebate_Lookup[MOQ_4])
)
),
3,
IF(
AND(
_xlfn.XLOOKUP(A48,Rebate_Lookup[SKU CODE],Rebate_Lookup[MOQ_4])&gt;0,
H48&gt;=_xlfn.XLOOKUP(A48,Rebate_Lookup[SKU CODE],Rebate_Lookup[MOQ_4])
),
4,
1
)
)
)
)
)
)),
PRICING[Standard Use Rate (oz/M)]
),
2
))</f>
        <v>0.15</v>
      </c>
      <c r="U48" s="129">
        <f t="shared" si="25"/>
        <v>6.53</v>
      </c>
      <c r="V48" s="129" t="str">
        <f>IF(AND(TRIM(U48)&lt;&gt;"",TRIM(H48)&lt;&gt;""),ROUND(H48*INDEX(PRICING[Package Ounces],MATCH(A48,PRICING[SKU],0))/U48,2),"")</f>
        <v/>
      </c>
      <c r="W48" s="247">
        <f t="shared" si="17"/>
        <v>0</v>
      </c>
      <c r="X48" s="248">
        <f t="shared" si="18"/>
        <v>0</v>
      </c>
      <c r="Y48" s="90"/>
      <c r="AC48" s="90"/>
      <c r="AD48" s="90"/>
      <c r="AE48" s="90"/>
      <c r="AF48" s="90"/>
      <c r="AG48" s="90"/>
      <c r="AH48" s="90"/>
      <c r="AI48" s="90"/>
      <c r="AJ48" s="90"/>
      <c r="AK48" s="90"/>
      <c r="AL48" s="90"/>
      <c r="AM48" s="90"/>
      <c r="AN48" s="90"/>
      <c r="AO48" s="90"/>
      <c r="AP48" s="90"/>
      <c r="AQ48" s="90"/>
      <c r="AR48" s="90"/>
      <c r="AS48" s="90"/>
      <c r="AT48" s="90"/>
      <c r="AU48" s="90"/>
      <c r="AV48" s="90"/>
      <c r="AW48" s="90"/>
      <c r="AX48" s="90"/>
      <c r="AY48" s="90"/>
      <c r="AZ48" s="90"/>
      <c r="BA48" s="90"/>
      <c r="BB48" s="90"/>
      <c r="BC48" s="90"/>
      <c r="BD48" s="90"/>
      <c r="BE48" s="90"/>
      <c r="BF48" s="90"/>
    </row>
    <row r="49" spans="1:58" ht="18" customHeight="1" x14ac:dyDescent="0.2">
      <c r="A49" s="253">
        <v>11008357</v>
      </c>
      <c r="B49" s="259" t="b">
        <f t="shared" si="19"/>
        <v>0</v>
      </c>
      <c r="D49" s="268" t="str" cm="1">
        <f t="array" ref="D49">IFERROR(
    _xlfn.TEXTJOIN(
        "; ",
        TRUE,
        _xlfn._xlws.FILTER(
            IF(
                ISNUMBER(SEARCH("Terradex",E49)),
                TEXT(ROUND(PRICING[Rebate $]/AB49,2),"$#,##0.00")&amp;
                " off per gal with "&amp;
                SUBSTITUTE(PRICING[Min Qty]," gal","")&amp;
                " + Terradex gallons",
                TEXT(PRICING[Rebate $],"$#,##0.00")&amp;
                " off on "&amp;
                IF(
                    (PRICING[Min Qty]="")+(PRICING[Min Qty]=0),
                    "1 unit",
                    PRICING[Min Qty]&amp;" units"
                )
            ),
            (PRICING[SKU]=$A49)*
            (
                ISNUMBER(SEARCH("Terradex",E49))+
                (
                    (PRICING[Rebate $]&lt;&gt;"")*
                    (PRICING[Rebate $]&lt;&gt;0)
                )
            )
        )
    ),
    "n/a"
)</f>
        <v>$18.00 off on 1 unit</v>
      </c>
      <c r="E49" s="122" t="str">
        <f>_xlfn.XLOOKUP(A49, PRICING[SKU], PRICING[Product], "")</f>
        <v>Dismiss® CA Herbicide</v>
      </c>
      <c r="F49" s="37" t="str">
        <f>_xlfn.XLOOKUP(A49, PRICING[SKU], PRICING[Size], "")</f>
        <v>6 oz</v>
      </c>
      <c r="G49" s="123" t="str">
        <f>IF(_xlfn.XLOOKUP(A49,PRICING[SKU],PRICING[Indication])="I","Insecticide",
 IF(_xlfn.XLOOKUP(A49,PRICING[SKU],PRICING[Indication])="H","Herbicide",
 IF(_xlfn.XLOOKUP(A49,PRICING[SKU],PRICING[Indication])="F","Fungicide",
 IF(_xlfn.XLOOKUP(A49,PRICING[SKU],PRICING[Indication])="PGR","PGR",""))))</f>
        <v>Herbicide</v>
      </c>
      <c r="H49" s="109"/>
      <c r="I49" s="110"/>
      <c r="J49" s="38">
        <f>INDEX(PRICING[NOW Price],MATCH(A49,PRICING[SKU],0))</f>
        <v>61.32</v>
      </c>
      <c r="K49" s="38" t="str">
        <f>IF(OR(H49="",O49=""),"",
IF(O49=1,INDEX(Rebate_Lookup[REB_MOQ_1],MATCH(A49,Rebate_Lookup[SKU CODE],0)),
IF(O49=2,INDEX(Rebate_Lookup[REB_MOQ_2],MATCH(A49,Rebate_Lookup[SKU CODE],0)),
IF(O49=3,INDEX(Rebate_Lookup[REB_MOQ_3],MATCH(A49,Rebate_Lookup[SKU CODE],0)),
IF(O49=4,INDEX(Rebate_Lookup[REB_MOQ_4],MATCH(A49,Rebate_Lookup[SKU CODE],0)),
"#err")))))</f>
        <v/>
      </c>
      <c r="L49" s="38" t="str">
        <f t="shared" si="20"/>
        <v/>
      </c>
      <c r="M49" s="124" t="str">
        <f t="shared" si="21"/>
        <v/>
      </c>
      <c r="N49" s="125" t="str">
        <f t="shared" si="22"/>
        <v/>
      </c>
      <c r="O49" s="270" t="str">
        <f>IF(H49="","",INDEX(Rebate_Lookup[Qualified Rebate Tier],MATCH(A49,Rebate_Lookup[SKU CODE],0)))</f>
        <v/>
      </c>
      <c r="P49" s="38" t="str">
        <f t="shared" si="23"/>
        <v/>
      </c>
      <c r="Q49" s="126" t="str">
        <f t="shared" si="24"/>
        <v/>
      </c>
      <c r="R49" s="127"/>
      <c r="S49" s="128"/>
      <c r="T49" s="272" cm="1">
        <f t="array" ref="T49">IF(OR(H49="",H49=0),
ROUND(_xlfn.XLOOKUP(1,(PRICING[SKU]=A49)*(PRICING[Set]=1),PRICING[Standard Use Rate (oz/M)]),2),ROUND(
_xlfn.XLOOKUP(
1,
(PRICING[SKU]=A49)*
(PRICING[Set]=IF(
_xlfn.XLOOKUP(A49,Rebate_Lookup[SKU CODE],Rebate_Lookup[MOQ_2])=0,
1,
IF(
AND(
_xlfn.XLOOKUP(A49,Rebate_Lookup[SKU CODE],Rebate_Lookup[MOQ_3])=0,
H49&gt;=_xlfn.XLOOKUP(A49,Rebate_Lookup[SKU CODE],Rebate_Lookup[MOQ_2])
),
2,
IF(
AND(
H49&gt;=_xlfn.XLOOKUP(A49,Rebate_Lookup[SKU CODE],Rebate_Lookup[MOQ_1]),
H49&lt;_xlfn.XLOOKUP(A49,Rebate_Lookup[SKU CODE],Rebate_Lookup[MOQ_2])
),
1,
IF(
AND(
H49&gt;=_xlfn.XLOOKUP(A49,Rebate_Lookup[SKU CODE],Rebate_Lookup[MOQ_2]),
OR(
_xlfn.XLOOKUP(A49,Rebate_Lookup[SKU CODE],Rebate_Lookup[MOQ_3])=0,
H49&lt;_xlfn.XLOOKUP(A49,Rebate_Lookup[SKU CODE],Rebate_Lookup[MOQ_3])
)
),
2,
IF(
OR(
AND(
_xlfn.XLOOKUP(A49,Rebate_Lookup[SKU CODE],Rebate_Lookup[MOQ_4])=0,
H49&gt;=_xlfn.XLOOKUP(A49,Rebate_Lookup[SKU CODE],Rebate_Lookup[MOQ_3])
),
AND(
_xlfn.XLOOKUP(A49,Rebate_Lookup[SKU CODE],Rebate_Lookup[MOQ_4])&gt;0,
H49&gt;=_xlfn.XLOOKUP(A49,Rebate_Lookup[SKU CODE],Rebate_Lookup[MOQ_3]),
H49&lt;_xlfn.XLOOKUP(A49,Rebate_Lookup[SKU CODE],Rebate_Lookup[MOQ_4])
)
),
3,
IF(
AND(
_xlfn.XLOOKUP(A49,Rebate_Lookup[SKU CODE],Rebate_Lookup[MOQ_4])&gt;0,
H49&gt;=_xlfn.XLOOKUP(A49,Rebate_Lookup[SKU CODE],Rebate_Lookup[MOQ_4])
),
4,
1
)
)
)
)
)
)),
PRICING[Standard Use Rate (oz/M)]
),
2
))</f>
        <v>0.22</v>
      </c>
      <c r="U49" s="129">
        <f t="shared" si="25"/>
        <v>9.58</v>
      </c>
      <c r="V49" s="129" t="str">
        <f>IF(AND(TRIM(U49)&lt;&gt;"",TRIM(H49)&lt;&gt;""),ROUND(H49*INDEX(PRICING[Package Ounces],MATCH(A49,PRICING[SKU],0))/U49,2),"")</f>
        <v/>
      </c>
      <c r="W49" s="247">
        <f t="shared" si="17"/>
        <v>0</v>
      </c>
      <c r="X49" s="248">
        <f t="shared" si="18"/>
        <v>0</v>
      </c>
      <c r="Y49" s="90"/>
      <c r="AC49" s="90"/>
      <c r="AD49" s="90"/>
      <c r="AE49" s="90"/>
      <c r="AF49" s="90"/>
      <c r="AG49" s="90"/>
      <c r="AH49" s="90"/>
      <c r="AI49" s="90"/>
      <c r="AJ49" s="90"/>
      <c r="AK49" s="90"/>
      <c r="AL49" s="90"/>
      <c r="AM49" s="90"/>
      <c r="AN49" s="90"/>
      <c r="AO49" s="90"/>
      <c r="AP49" s="90"/>
      <c r="AQ49" s="90"/>
      <c r="AR49" s="90"/>
      <c r="AS49" s="90"/>
      <c r="AT49" s="90"/>
      <c r="AU49" s="90"/>
      <c r="AV49" s="90"/>
      <c r="AW49" s="90"/>
      <c r="AX49" s="90"/>
      <c r="AY49" s="90"/>
      <c r="AZ49" s="90"/>
      <c r="BA49" s="90"/>
      <c r="BB49" s="90"/>
      <c r="BC49" s="90"/>
      <c r="BD49" s="90"/>
      <c r="BE49" s="90"/>
      <c r="BF49" s="90"/>
    </row>
    <row r="50" spans="1:58" ht="18" customHeight="1" x14ac:dyDescent="0.2">
      <c r="A50" s="255">
        <v>11008474</v>
      </c>
      <c r="B50" s="259" t="b">
        <f t="shared" si="19"/>
        <v>0</v>
      </c>
      <c r="D50" s="268" t="str" cm="1">
        <f t="array" ref="D50">IFERROR(
    _xlfn.TEXTJOIN(
        "; ",
        TRUE,
        _xlfn._xlws.FILTER(
            IF(
                ISNUMBER(SEARCH("Terradex",E50)),
                TEXT(ROUND(PRICING[Rebate $]/AB50,2),"$#,##0.00")&amp;
                " off per gal with "&amp;
                SUBSTITUTE(PRICING[Min Qty]," gal","")&amp;
                " + Terradex gallons",
                TEXT(PRICING[Rebate $],"$#,##0.00")&amp;
                " off on "&amp;
                IF(
                    (PRICING[Min Qty]="")+(PRICING[Min Qty]=0),
                    "1 unit",
                    PRICING[Min Qty]&amp;" units"
                )
            ),
            (PRICING[SKU]=$A50)*
            (
                ISNUMBER(SEARCH("Terradex",E50))+
                (
                    (PRICING[Rebate $]&lt;&gt;"")*
                    (PRICING[Rebate $]&lt;&gt;0)
                )
            )
        )
    ),
    "n/a"
)</f>
        <v>$25.00 off on 1 unit</v>
      </c>
      <c r="E50" s="122" t="str">
        <f>_xlfn.XLOOKUP(A50, PRICING[SKU], PRICING[Product], "")</f>
        <v>Dismiss® South Herbicide</v>
      </c>
      <c r="F50" s="37" t="str">
        <f>_xlfn.XLOOKUP(A50, PRICING[SKU], PRICING[Size], "")</f>
        <v xml:space="preserve">1 pint </v>
      </c>
      <c r="G50" s="123" t="str">
        <f>IF(_xlfn.XLOOKUP(A50,PRICING[SKU],PRICING[Indication])="I","Insecticide",
 IF(_xlfn.XLOOKUP(A50,PRICING[SKU],PRICING[Indication])="H","Herbicide",
 IF(_xlfn.XLOOKUP(A50,PRICING[SKU],PRICING[Indication])="F","Fungicide",
 IF(_xlfn.XLOOKUP(A50,PRICING[SKU],PRICING[Indication])="PGR","PGR",""))))</f>
        <v>Herbicide</v>
      </c>
      <c r="H50" s="109"/>
      <c r="I50" s="110"/>
      <c r="J50" s="38">
        <f>INDEX(PRICING[NOW Price],MATCH(A50,PRICING[SKU],0))</f>
        <v>158.66</v>
      </c>
      <c r="K50" s="38" t="str">
        <f>IF(OR(H50="",O50=""),"",
IF(O50=1,INDEX(Rebate_Lookup[REB_MOQ_1],MATCH(A50,Rebate_Lookup[SKU CODE],0)),
IF(O50=2,INDEX(Rebate_Lookup[REB_MOQ_2],MATCH(A50,Rebate_Lookup[SKU CODE],0)),
IF(O50=3,INDEX(Rebate_Lookup[REB_MOQ_3],MATCH(A50,Rebate_Lookup[SKU CODE],0)),
IF(O50=4,INDEX(Rebate_Lookup[REB_MOQ_4],MATCH(A50,Rebate_Lookup[SKU CODE],0)),
"#err")))))</f>
        <v/>
      </c>
      <c r="L50" s="38" t="str">
        <f t="shared" si="20"/>
        <v/>
      </c>
      <c r="M50" s="124" t="str">
        <f t="shared" si="21"/>
        <v/>
      </c>
      <c r="N50" s="125" t="str">
        <f t="shared" si="22"/>
        <v/>
      </c>
      <c r="O50" s="270" t="str">
        <f>IF(H50="","",INDEX(Rebate_Lookup[Qualified Rebate Tier],MATCH(A50,Rebate_Lookup[SKU CODE],0)))</f>
        <v/>
      </c>
      <c r="P50" s="38" t="str">
        <f t="shared" si="23"/>
        <v/>
      </c>
      <c r="Q50" s="126" t="str">
        <f t="shared" si="24"/>
        <v/>
      </c>
      <c r="R50" s="127"/>
      <c r="S50" s="128"/>
      <c r="T50" s="272" cm="1">
        <f t="array" ref="T50">IF(OR(H50="",H50=0),
ROUND(_xlfn.XLOOKUP(1,(PRICING[SKU]=A50)*(PRICING[Set]=1),PRICING[Standard Use Rate (oz/M)]),2),ROUND(
_xlfn.XLOOKUP(
1,
(PRICING[SKU]=A50)*
(PRICING[Set]=IF(
_xlfn.XLOOKUP(A50,Rebate_Lookup[SKU CODE],Rebate_Lookup[MOQ_2])=0,
1,
IF(
AND(
_xlfn.XLOOKUP(A50,Rebate_Lookup[SKU CODE],Rebate_Lookup[MOQ_3])=0,
H50&gt;=_xlfn.XLOOKUP(A50,Rebate_Lookup[SKU CODE],Rebate_Lookup[MOQ_2])
),
2,
IF(
AND(
H50&gt;=_xlfn.XLOOKUP(A50,Rebate_Lookup[SKU CODE],Rebate_Lookup[MOQ_1]),
H50&lt;_xlfn.XLOOKUP(A50,Rebate_Lookup[SKU CODE],Rebate_Lookup[MOQ_2])
),
1,
IF(
AND(
H50&gt;=_xlfn.XLOOKUP(A50,Rebate_Lookup[SKU CODE],Rebate_Lookup[MOQ_2]),
OR(
_xlfn.XLOOKUP(A50,Rebate_Lookup[SKU CODE],Rebate_Lookup[MOQ_3])=0,
H50&lt;_xlfn.XLOOKUP(A50,Rebate_Lookup[SKU CODE],Rebate_Lookup[MOQ_3])
)
),
2,
IF(
OR(
AND(
_xlfn.XLOOKUP(A50,Rebate_Lookup[SKU CODE],Rebate_Lookup[MOQ_4])=0,
H50&gt;=_xlfn.XLOOKUP(A50,Rebate_Lookup[SKU CODE],Rebate_Lookup[MOQ_3])
),
AND(
_xlfn.XLOOKUP(A50,Rebate_Lookup[SKU CODE],Rebate_Lookup[MOQ_4])&gt;0,
H50&gt;=_xlfn.XLOOKUP(A50,Rebate_Lookup[SKU CODE],Rebate_Lookup[MOQ_3]),
H50&lt;_xlfn.XLOOKUP(A50,Rebate_Lookup[SKU CODE],Rebate_Lookup[MOQ_4])
)
),
3,
IF(
AND(
_xlfn.XLOOKUP(A50,Rebate_Lookup[SKU CODE],Rebate_Lookup[MOQ_4])&gt;0,
H50&gt;=_xlfn.XLOOKUP(A50,Rebate_Lookup[SKU CODE],Rebate_Lookup[MOQ_4])
),
4,
1
)
)
)
)
)
)),
PRICING[Standard Use Rate (oz/M)]
),
2
))</f>
        <v>0.22</v>
      </c>
      <c r="U50" s="129">
        <f t="shared" si="25"/>
        <v>9.58</v>
      </c>
      <c r="V50" s="129" t="str">
        <f>IF(AND(TRIM(U50)&lt;&gt;"",TRIM(H50)&lt;&gt;""),ROUND(H50*INDEX(PRICING[Package Ounces],MATCH(A50,PRICING[SKU],0))/U50,2),"")</f>
        <v/>
      </c>
      <c r="W50" s="247">
        <f t="shared" si="17"/>
        <v>0</v>
      </c>
      <c r="X50" s="248">
        <f t="shared" si="18"/>
        <v>0</v>
      </c>
      <c r="Y50" s="90"/>
      <c r="AC50" s="90"/>
      <c r="AD50" s="90"/>
      <c r="AE50" s="90"/>
      <c r="AF50" s="90"/>
      <c r="AG50" s="90"/>
      <c r="AH50" s="90"/>
      <c r="AI50" s="90"/>
      <c r="AJ50" s="90"/>
      <c r="AK50" s="90"/>
      <c r="AL50" s="90"/>
      <c r="AM50" s="90"/>
      <c r="AN50" s="90"/>
      <c r="AO50" s="90"/>
      <c r="AP50" s="90"/>
      <c r="AQ50" s="90"/>
      <c r="AR50" s="90"/>
      <c r="AS50" s="90"/>
      <c r="AT50" s="90"/>
      <c r="AU50" s="90"/>
      <c r="AV50" s="90"/>
      <c r="AW50" s="90"/>
      <c r="AX50" s="90"/>
      <c r="AY50" s="90"/>
      <c r="AZ50" s="90"/>
      <c r="BA50" s="90"/>
      <c r="BB50" s="90"/>
      <c r="BC50" s="90"/>
      <c r="BD50" s="90"/>
      <c r="BE50" s="90"/>
      <c r="BF50" s="90"/>
    </row>
    <row r="51" spans="1:58" ht="18" customHeight="1" x14ac:dyDescent="0.2">
      <c r="A51" s="253">
        <v>11008475</v>
      </c>
      <c r="B51" s="259" t="b">
        <f t="shared" si="19"/>
        <v>0</v>
      </c>
      <c r="D51" s="268" t="str" cm="1">
        <f t="array" ref="D51">IFERROR(
    _xlfn.TEXTJOIN(
        "; ",
        TRUE,
        _xlfn._xlws.FILTER(
            IF(
                ISNUMBER(SEARCH("Terradex",E51)),
                TEXT(ROUND(PRICING[Rebate $]/AB51,2),"$#,##0.00")&amp;
                " off per gal with "&amp;
                SUBSTITUTE(PRICING[Min Qty]," gal","")&amp;
                " + Terradex gallons",
                TEXT(PRICING[Rebate $],"$#,##0.00")&amp;
                " off on "&amp;
                IF(
                    (PRICING[Min Qty]="")+(PRICING[Min Qty]=0),
                    "1 unit",
                    PRICING[Min Qty]&amp;" units"
                )
            ),
            (PRICING[SKU]=$A51)*
            (
                ISNUMBER(SEARCH("Terradex",E51))+
                (
                    (PRICING[Rebate $]&lt;&gt;"")*
                    (PRICING[Rebate $]&lt;&gt;0)
                )
            )
        )
    ),
    "n/a"
)</f>
        <v>$18.00 off on 1 unit</v>
      </c>
      <c r="E51" s="122" t="str">
        <f>_xlfn.XLOOKUP(A51, PRICING[SKU], PRICING[Product], "")</f>
        <v>Dismiss® Turf Herbicide</v>
      </c>
      <c r="F51" s="37" t="str">
        <f>_xlfn.XLOOKUP(A51, PRICING[SKU], PRICING[Size], "")</f>
        <v>6 oz</v>
      </c>
      <c r="G51" s="123" t="str">
        <f>IF(_xlfn.XLOOKUP(A51,PRICING[SKU],PRICING[Indication])="I","Insecticide",
 IF(_xlfn.XLOOKUP(A51,PRICING[SKU],PRICING[Indication])="H","Herbicide",
 IF(_xlfn.XLOOKUP(A51,PRICING[SKU],PRICING[Indication])="F","Fungicide",
 IF(_xlfn.XLOOKUP(A51,PRICING[SKU],PRICING[Indication])="PGR","PGR",""))))</f>
        <v>Herbicide</v>
      </c>
      <c r="H51" s="109"/>
      <c r="I51" s="110"/>
      <c r="J51" s="38">
        <f>INDEX(PRICING[NOW Price],MATCH(A51,PRICING[SKU],0))</f>
        <v>61.32</v>
      </c>
      <c r="K51" s="38" t="str">
        <f>IF(OR(H51="",O51=""),"",
IF(O51=1,INDEX(Rebate_Lookup[REB_MOQ_1],MATCH(A51,Rebate_Lookup[SKU CODE],0)),
IF(O51=2,INDEX(Rebate_Lookup[REB_MOQ_2],MATCH(A51,Rebate_Lookup[SKU CODE],0)),
IF(O51=3,INDEX(Rebate_Lookup[REB_MOQ_3],MATCH(A51,Rebate_Lookup[SKU CODE],0)),
IF(O51=4,INDEX(Rebate_Lookup[REB_MOQ_4],MATCH(A51,Rebate_Lookup[SKU CODE],0)),
"#err")))))</f>
        <v/>
      </c>
      <c r="L51" s="38" t="str">
        <f t="shared" si="20"/>
        <v/>
      </c>
      <c r="M51" s="124" t="str">
        <f t="shared" si="21"/>
        <v/>
      </c>
      <c r="N51" s="125" t="str">
        <f t="shared" si="22"/>
        <v/>
      </c>
      <c r="O51" s="270" t="str">
        <f>IF(H51="","",INDEX(Rebate_Lookup[Qualified Rebate Tier],MATCH(A51,Rebate_Lookup[SKU CODE],0)))</f>
        <v/>
      </c>
      <c r="P51" s="38" t="str">
        <f t="shared" si="23"/>
        <v/>
      </c>
      <c r="Q51" s="126" t="str">
        <f t="shared" si="24"/>
        <v/>
      </c>
      <c r="R51" s="127"/>
      <c r="S51" s="128"/>
      <c r="T51" s="272" cm="1">
        <f t="array" ref="T51">IF(OR(H51="",H51=0),
ROUND(_xlfn.XLOOKUP(1,(PRICING[SKU]=A51)*(PRICING[Set]=1),PRICING[Standard Use Rate (oz/M)]),2),ROUND(
_xlfn.XLOOKUP(
1,
(PRICING[SKU]=A51)*
(PRICING[Set]=IF(
_xlfn.XLOOKUP(A51,Rebate_Lookup[SKU CODE],Rebate_Lookup[MOQ_2])=0,
1,
IF(
AND(
_xlfn.XLOOKUP(A51,Rebate_Lookup[SKU CODE],Rebate_Lookup[MOQ_3])=0,
H51&gt;=_xlfn.XLOOKUP(A51,Rebate_Lookup[SKU CODE],Rebate_Lookup[MOQ_2])
),
2,
IF(
AND(
H51&gt;=_xlfn.XLOOKUP(A51,Rebate_Lookup[SKU CODE],Rebate_Lookup[MOQ_1]),
H51&lt;_xlfn.XLOOKUP(A51,Rebate_Lookup[SKU CODE],Rebate_Lookup[MOQ_2])
),
1,
IF(
AND(
H51&gt;=_xlfn.XLOOKUP(A51,Rebate_Lookup[SKU CODE],Rebate_Lookup[MOQ_2]),
OR(
_xlfn.XLOOKUP(A51,Rebate_Lookup[SKU CODE],Rebate_Lookup[MOQ_3])=0,
H51&lt;_xlfn.XLOOKUP(A51,Rebate_Lookup[SKU CODE],Rebate_Lookup[MOQ_3])
)
),
2,
IF(
OR(
AND(
_xlfn.XLOOKUP(A51,Rebate_Lookup[SKU CODE],Rebate_Lookup[MOQ_4])=0,
H51&gt;=_xlfn.XLOOKUP(A51,Rebate_Lookup[SKU CODE],Rebate_Lookup[MOQ_3])
),
AND(
_xlfn.XLOOKUP(A51,Rebate_Lookup[SKU CODE],Rebate_Lookup[MOQ_4])&gt;0,
H51&gt;=_xlfn.XLOOKUP(A51,Rebate_Lookup[SKU CODE],Rebate_Lookup[MOQ_3]),
H51&lt;_xlfn.XLOOKUP(A51,Rebate_Lookup[SKU CODE],Rebate_Lookup[MOQ_4])
)
),
3,
IF(
AND(
_xlfn.XLOOKUP(A51,Rebate_Lookup[SKU CODE],Rebate_Lookup[MOQ_4])&gt;0,
H51&gt;=_xlfn.XLOOKUP(A51,Rebate_Lookup[SKU CODE],Rebate_Lookup[MOQ_4])
),
4,
1
)
)
)
)
)
)),
PRICING[Standard Use Rate (oz/M)]
),
2
))</f>
        <v>0.18</v>
      </c>
      <c r="U51" s="129">
        <f t="shared" si="25"/>
        <v>7.84</v>
      </c>
      <c r="V51" s="129" t="str">
        <f>IF(AND(TRIM(U51)&lt;&gt;"",TRIM(H51)&lt;&gt;""),ROUND(H51*INDEX(PRICING[Package Ounces],MATCH(A51,PRICING[SKU],0))/U51,2),"")</f>
        <v/>
      </c>
      <c r="W51" s="247">
        <f t="shared" si="17"/>
        <v>0</v>
      </c>
      <c r="X51" s="248">
        <f t="shared" si="18"/>
        <v>0</v>
      </c>
      <c r="Y51" s="90"/>
      <c r="AC51" s="90"/>
      <c r="AD51" s="90"/>
      <c r="AE51" s="90"/>
      <c r="AF51" s="90"/>
      <c r="AG51" s="90"/>
      <c r="AH51" s="90"/>
      <c r="AI51" s="90"/>
      <c r="AJ51" s="90"/>
      <c r="AK51" s="90"/>
      <c r="AL51" s="90"/>
      <c r="AM51" s="90"/>
      <c r="AN51" s="90"/>
      <c r="AO51" s="90"/>
      <c r="AP51" s="90"/>
      <c r="AQ51" s="90"/>
      <c r="AR51" s="90"/>
      <c r="AS51" s="90"/>
      <c r="AT51" s="90"/>
      <c r="AU51" s="90"/>
      <c r="AV51" s="90"/>
      <c r="AW51" s="90"/>
      <c r="AX51" s="90"/>
      <c r="AY51" s="90"/>
      <c r="AZ51" s="90"/>
      <c r="BA51" s="90"/>
      <c r="BB51" s="90"/>
      <c r="BC51" s="90"/>
      <c r="BD51" s="90"/>
      <c r="BE51" s="90"/>
      <c r="BF51" s="90"/>
    </row>
    <row r="52" spans="1:58" ht="18" customHeight="1" x14ac:dyDescent="0.2">
      <c r="A52" s="255">
        <v>11008336</v>
      </c>
      <c r="B52" s="259" t="b">
        <f t="shared" si="19"/>
        <v>0</v>
      </c>
      <c r="D52" s="268" t="str" cm="1">
        <f t="array" ref="D52">IFERROR(
    _xlfn.TEXTJOIN(
        "; ",
        TRUE,
        _xlfn._xlws.FILTER(
            IF(
                ISNUMBER(SEARCH("Terradex",E52)),
                TEXT(ROUND(PRICING[Rebate $]/AB52,2),"$#,##0.00")&amp;
                " off per gal with "&amp;
                SUBSTITUTE(PRICING[Min Qty]," gal","")&amp;
                " + Terradex gallons",
                TEXT(PRICING[Rebate $],"$#,##0.00")&amp;
                " off on "&amp;
                IF(
                    (PRICING[Min Qty]="")+(PRICING[Min Qty]=0),
                    "1 unit",
                    PRICING[Min Qty]&amp;" units"
                )
            ),
            (PRICING[SKU]=$A52)*
            (
                ISNUMBER(SEARCH("Terradex",E52))+
                (
                    (PRICING[Rebate $]&lt;&gt;"")*
                    (PRICING[Rebate $]&lt;&gt;0)
                )
            )
        )
    ),
    "n/a"
)</f>
        <v>$40.00 off on 1 unit</v>
      </c>
      <c r="E52" s="122" t="str">
        <f>_xlfn.XLOOKUP(A52, PRICING[SKU], PRICING[Product], "")</f>
        <v>Dismiss® Turf Herbicide</v>
      </c>
      <c r="F52" s="37" t="str">
        <f>_xlfn.XLOOKUP(A52, PRICING[SKU], PRICING[Size], "")</f>
        <v>64 oz</v>
      </c>
      <c r="G52" s="123" t="str">
        <f>IF(_xlfn.XLOOKUP(A52,PRICING[SKU],PRICING[Indication])="I","Insecticide",
 IF(_xlfn.XLOOKUP(A52,PRICING[SKU],PRICING[Indication])="H","Herbicide",
 IF(_xlfn.XLOOKUP(A52,PRICING[SKU],PRICING[Indication])="F","Fungicide",
 IF(_xlfn.XLOOKUP(A52,PRICING[SKU],PRICING[Indication])="PGR","PGR",""))))</f>
        <v>Herbicide</v>
      </c>
      <c r="H52" s="109"/>
      <c r="I52" s="110"/>
      <c r="J52" s="38">
        <f>INDEX(PRICING[NOW Price],MATCH(A52,PRICING[SKU],0))</f>
        <v>272.58999999999997</v>
      </c>
      <c r="K52" s="38" t="str">
        <f>IF(OR(H52="",O52=""),"",
IF(O52=1,INDEX(Rebate_Lookup[REB_MOQ_1],MATCH(A52,Rebate_Lookup[SKU CODE],0)),
IF(O52=2,INDEX(Rebate_Lookup[REB_MOQ_2],MATCH(A52,Rebate_Lookup[SKU CODE],0)),
IF(O52=3,INDEX(Rebate_Lookup[REB_MOQ_3],MATCH(A52,Rebate_Lookup[SKU CODE],0)),
IF(O52=4,INDEX(Rebate_Lookup[REB_MOQ_4],MATCH(A52,Rebate_Lookup[SKU CODE],0)),
"#err")))))</f>
        <v/>
      </c>
      <c r="L52" s="38" t="str">
        <f t="shared" si="20"/>
        <v/>
      </c>
      <c r="M52" s="124" t="str">
        <f t="shared" si="21"/>
        <v/>
      </c>
      <c r="N52" s="125" t="str">
        <f t="shared" si="22"/>
        <v/>
      </c>
      <c r="O52" s="270" t="str">
        <f>IF(H52="","",INDEX(Rebate_Lookup[Qualified Rebate Tier],MATCH(A52,Rebate_Lookup[SKU CODE],0)))</f>
        <v/>
      </c>
      <c r="P52" s="38" t="str">
        <f t="shared" si="23"/>
        <v/>
      </c>
      <c r="Q52" s="126" t="str">
        <f t="shared" si="24"/>
        <v/>
      </c>
      <c r="R52" s="127"/>
      <c r="S52" s="128"/>
      <c r="T52" s="272" cm="1">
        <f t="array" ref="T52">IF(OR(H52="",H52=0),
ROUND(_xlfn.XLOOKUP(1,(PRICING[SKU]=A52)*(PRICING[Set]=1),PRICING[Standard Use Rate (oz/M)]),2),ROUND(
_xlfn.XLOOKUP(
1,
(PRICING[SKU]=A52)*
(PRICING[Set]=IF(
_xlfn.XLOOKUP(A52,Rebate_Lookup[SKU CODE],Rebate_Lookup[MOQ_2])=0,
1,
IF(
AND(
_xlfn.XLOOKUP(A52,Rebate_Lookup[SKU CODE],Rebate_Lookup[MOQ_3])=0,
H52&gt;=_xlfn.XLOOKUP(A52,Rebate_Lookup[SKU CODE],Rebate_Lookup[MOQ_2])
),
2,
IF(
AND(
H52&gt;=_xlfn.XLOOKUP(A52,Rebate_Lookup[SKU CODE],Rebate_Lookup[MOQ_1]),
H52&lt;_xlfn.XLOOKUP(A52,Rebate_Lookup[SKU CODE],Rebate_Lookup[MOQ_2])
),
1,
IF(
AND(
H52&gt;=_xlfn.XLOOKUP(A52,Rebate_Lookup[SKU CODE],Rebate_Lookup[MOQ_2]),
OR(
_xlfn.XLOOKUP(A52,Rebate_Lookup[SKU CODE],Rebate_Lookup[MOQ_3])=0,
H52&lt;_xlfn.XLOOKUP(A52,Rebate_Lookup[SKU CODE],Rebate_Lookup[MOQ_3])
)
),
2,
IF(
OR(
AND(
_xlfn.XLOOKUP(A52,Rebate_Lookup[SKU CODE],Rebate_Lookup[MOQ_4])=0,
H52&gt;=_xlfn.XLOOKUP(A52,Rebate_Lookup[SKU CODE],Rebate_Lookup[MOQ_3])
),
AND(
_xlfn.XLOOKUP(A52,Rebate_Lookup[SKU CODE],Rebate_Lookup[MOQ_4])&gt;0,
H52&gt;=_xlfn.XLOOKUP(A52,Rebate_Lookup[SKU CODE],Rebate_Lookup[MOQ_3]),
H52&lt;_xlfn.XLOOKUP(A52,Rebate_Lookup[SKU CODE],Rebate_Lookup[MOQ_4])
)
),
3,
IF(
AND(
_xlfn.XLOOKUP(A52,Rebate_Lookup[SKU CODE],Rebate_Lookup[MOQ_4])&gt;0,
H52&gt;=_xlfn.XLOOKUP(A52,Rebate_Lookup[SKU CODE],Rebate_Lookup[MOQ_4])
),
4,
1
)
)
)
)
)
)),
PRICING[Standard Use Rate (oz/M)]
),
2
))</f>
        <v>0.18</v>
      </c>
      <c r="U52" s="129">
        <f t="shared" si="25"/>
        <v>7.84</v>
      </c>
      <c r="V52" s="129" t="str">
        <f>IF(AND(TRIM(U52)&lt;&gt;"",TRIM(H52)&lt;&gt;""),ROUND(H52*INDEX(PRICING[Package Ounces],MATCH(A52,PRICING[SKU],0))/U52,2),"")</f>
        <v/>
      </c>
      <c r="W52" s="247">
        <f t="shared" si="17"/>
        <v>0</v>
      </c>
      <c r="X52" s="248">
        <f t="shared" si="18"/>
        <v>0</v>
      </c>
      <c r="Y52" s="90"/>
      <c r="AC52" s="90"/>
      <c r="AD52" s="90"/>
      <c r="AE52" s="90"/>
      <c r="AF52" s="90"/>
      <c r="AG52" s="90"/>
      <c r="AH52" s="90"/>
      <c r="AI52" s="90"/>
      <c r="AJ52" s="90"/>
      <c r="AK52" s="90"/>
      <c r="AL52" s="90"/>
      <c r="AM52" s="90"/>
      <c r="AN52" s="90"/>
      <c r="AO52" s="90"/>
      <c r="AP52" s="90"/>
      <c r="AQ52" s="90"/>
      <c r="AR52" s="90"/>
      <c r="AS52" s="90"/>
      <c r="AT52" s="90"/>
      <c r="AU52" s="90"/>
      <c r="AV52" s="90"/>
      <c r="AW52" s="90"/>
      <c r="AX52" s="90"/>
      <c r="AY52" s="90"/>
      <c r="AZ52" s="90"/>
      <c r="BA52" s="90"/>
      <c r="BB52" s="90"/>
      <c r="BC52" s="90"/>
      <c r="BD52" s="90"/>
      <c r="BE52" s="90"/>
      <c r="BF52" s="90"/>
    </row>
    <row r="53" spans="1:58" ht="18" customHeight="1" x14ac:dyDescent="0.2">
      <c r="A53" s="253" t="s">
        <v>69</v>
      </c>
      <c r="B53" s="259" t="b">
        <f t="shared" si="19"/>
        <v>0</v>
      </c>
      <c r="D53" s="268" t="str" cm="1">
        <f t="array" ref="D53">IFERROR(
    _xlfn.TEXTJOIN(
        "; ",
        TRUE,
        _xlfn._xlws.FILTER(
            IF(
                ISNUMBER(SEARCH("Terradex",E53)),
                TEXT(ROUND(PRICING[Rebate $]/AB53,2),"$#,##0.00")&amp;
                " off per gal with "&amp;
                SUBSTITUTE(PRICING[Min Qty]," gal","")&amp;
                " + Terradex gallons",
                TEXT(PRICING[Rebate $],"$#,##0.00")&amp;
                " off on "&amp;
                IF(
                    (PRICING[Min Qty]="")+(PRICING[Min Qty]=0),
                    "1 unit",
                    PRICING[Min Qty]&amp;" units"
                )
            ),
            (PRICING[SKU]=$A53)*
            (
                ISNUMBER(SEARCH("Terradex",E53))+
                (
                    (PRICING[Rebate $]&lt;&gt;"")*
                    (PRICING[Rebate $]&lt;&gt;0)
                )
            )
        )
    ),
    "n/a"
)</f>
        <v>$2.50 off on 1 unit</v>
      </c>
      <c r="E53" s="122" t="str">
        <f>_xlfn.XLOOKUP(A53, PRICING[SKU], PRICING[Product], "")</f>
        <v>Durentis® 0.058% On-Fertilizer</v>
      </c>
      <c r="F53" s="37" t="str">
        <f>_xlfn.XLOOKUP(A53, PRICING[SKU], PRICING[Size], "")</f>
        <v>50 lb</v>
      </c>
      <c r="G53" s="123" t="str">
        <f>IF(_xlfn.XLOOKUP(A53,PRICING[SKU],PRICING[Indication])="I","Insecticide",
 IF(_xlfn.XLOOKUP(A53,PRICING[SKU],PRICING[Indication])="H","Herbicide",
 IF(_xlfn.XLOOKUP(A53,PRICING[SKU],PRICING[Indication])="F","Fungicide",
 IF(_xlfn.XLOOKUP(A53,PRICING[SKU],PRICING[Indication])="PGR","PGR",""))))</f>
        <v>Insecticide</v>
      </c>
      <c r="H53" s="109"/>
      <c r="I53" s="110"/>
      <c r="J53" s="38">
        <f>INDEX(PRICING[NOW Price],MATCH(A53,PRICING[SKU],0))</f>
        <v>20</v>
      </c>
      <c r="K53" s="38" t="str">
        <f>IF(OR(H53="",O53=""),"",
IF(O53=1,INDEX(Rebate_Lookup[REB_MOQ_1],MATCH(A53,Rebate_Lookup[SKU CODE],0)),
IF(O53=2,INDEX(Rebate_Lookup[REB_MOQ_2],MATCH(A53,Rebate_Lookup[SKU CODE],0)),
IF(O53=3,INDEX(Rebate_Lookup[REB_MOQ_3],MATCH(A53,Rebate_Lookup[SKU CODE],0)),
IF(O53=4,INDEX(Rebate_Lookup[REB_MOQ_4],MATCH(A53,Rebate_Lookup[SKU CODE],0)),
"#err")))))</f>
        <v/>
      </c>
      <c r="L53" s="38" t="str">
        <f t="shared" si="20"/>
        <v/>
      </c>
      <c r="M53" s="124" t="str">
        <f t="shared" si="21"/>
        <v/>
      </c>
      <c r="N53" s="125" t="str">
        <f t="shared" si="22"/>
        <v/>
      </c>
      <c r="O53" s="270" t="str">
        <f>IF(H53="","",INDEX(Rebate_Lookup[Qualified Rebate Tier],MATCH(A53,Rebate_Lookup[SKU CODE],0)))</f>
        <v/>
      </c>
      <c r="P53" s="38" t="str">
        <f t="shared" si="23"/>
        <v/>
      </c>
      <c r="Q53" s="126" t="str">
        <f t="shared" si="24"/>
        <v/>
      </c>
      <c r="R53" s="127"/>
      <c r="S53" s="128"/>
      <c r="T53" s="272" cm="1">
        <f t="array" ref="T53">IF(OR(H53="",H53=0),
ROUND(_xlfn.XLOOKUP(1,(PRICING[SKU]=A53)*(PRICING[Set]=1),PRICING[Standard Use Rate (oz/M)]),2),ROUND(
_xlfn.XLOOKUP(
1,
(PRICING[SKU]=A53)*
(PRICING[Set]=IF(
_xlfn.XLOOKUP(A53,Rebate_Lookup[SKU CODE],Rebate_Lookup[MOQ_2])=0,
1,
IF(
AND(
_xlfn.XLOOKUP(A53,Rebate_Lookup[SKU CODE],Rebate_Lookup[MOQ_3])=0,
H53&gt;=_xlfn.XLOOKUP(A53,Rebate_Lookup[SKU CODE],Rebate_Lookup[MOQ_2])
),
2,
IF(
AND(
H53&gt;=_xlfn.XLOOKUP(A53,Rebate_Lookup[SKU CODE],Rebate_Lookup[MOQ_1]),
H53&lt;_xlfn.XLOOKUP(A53,Rebate_Lookup[SKU CODE],Rebate_Lookup[MOQ_2])
),
1,
IF(
AND(
H53&gt;=_xlfn.XLOOKUP(A53,Rebate_Lookup[SKU CODE],Rebate_Lookup[MOQ_2]),
OR(
_xlfn.XLOOKUP(A53,Rebate_Lookup[SKU CODE],Rebate_Lookup[MOQ_3])=0,
H53&lt;_xlfn.XLOOKUP(A53,Rebate_Lookup[SKU CODE],Rebate_Lookup[MOQ_3])
)
),
2,
IF(
OR(
AND(
_xlfn.XLOOKUP(A53,Rebate_Lookup[SKU CODE],Rebate_Lookup[MOQ_4])=0,
H53&gt;=_xlfn.XLOOKUP(A53,Rebate_Lookup[SKU CODE],Rebate_Lookup[MOQ_3])
),
AND(
_xlfn.XLOOKUP(A53,Rebate_Lookup[SKU CODE],Rebate_Lookup[MOQ_4])&gt;0,
H53&gt;=_xlfn.XLOOKUP(A53,Rebate_Lookup[SKU CODE],Rebate_Lookup[MOQ_3]),
H53&lt;_xlfn.XLOOKUP(A53,Rebate_Lookup[SKU CODE],Rebate_Lookup[MOQ_4])
)
),
3,
IF(
AND(
_xlfn.XLOOKUP(A53,Rebate_Lookup[SKU CODE],Rebate_Lookup[MOQ_4])&gt;0,
H53&gt;=_xlfn.XLOOKUP(A53,Rebate_Lookup[SKU CODE],Rebate_Lookup[MOQ_4])
),
4,
1
)
)
)
)
)
)),
PRICING[Standard Use Rate (oz/M)]
),
2
))</f>
        <v>4.0199999999999996</v>
      </c>
      <c r="U53" s="129">
        <f t="shared" si="25"/>
        <v>175.11</v>
      </c>
      <c r="V53" s="129" t="str">
        <f>IF(AND(TRIM(U53)&lt;&gt;"",TRIM(H53)&lt;&gt;""),ROUND(H53*INDEX(PRICING[Package Ounces],MATCH(A53,PRICING[SKU],0))/U53,2),"")</f>
        <v/>
      </c>
      <c r="W53" s="247">
        <f t="shared" si="17"/>
        <v>0</v>
      </c>
      <c r="X53" s="248">
        <f t="shared" si="18"/>
        <v>0</v>
      </c>
      <c r="Y53" s="90"/>
      <c r="AC53" s="90"/>
      <c r="AD53" s="90"/>
      <c r="AE53" s="90"/>
      <c r="AF53" s="90"/>
      <c r="AG53" s="90"/>
      <c r="AH53" s="90"/>
      <c r="AI53" s="90"/>
      <c r="AJ53" s="90"/>
      <c r="AK53" s="90"/>
      <c r="AL53" s="90"/>
      <c r="AM53" s="90"/>
      <c r="AN53" s="90"/>
      <c r="AO53" s="90"/>
      <c r="AP53" s="90"/>
      <c r="AQ53" s="90"/>
      <c r="AR53" s="90"/>
      <c r="AS53" s="90"/>
      <c r="AT53" s="90"/>
      <c r="AU53" s="90"/>
      <c r="AV53" s="90"/>
      <c r="AW53" s="90"/>
      <c r="AX53" s="90"/>
      <c r="AY53" s="90"/>
      <c r="AZ53" s="90"/>
      <c r="BA53" s="90"/>
      <c r="BB53" s="90"/>
      <c r="BC53" s="90"/>
      <c r="BD53" s="90"/>
      <c r="BE53" s="90"/>
      <c r="BF53" s="90"/>
    </row>
    <row r="54" spans="1:58" ht="18" customHeight="1" x14ac:dyDescent="0.2">
      <c r="A54" s="255" t="s">
        <v>70</v>
      </c>
      <c r="B54" s="259" t="b">
        <f t="shared" si="19"/>
        <v>0</v>
      </c>
      <c r="D54" s="268" t="str" cm="1">
        <f t="array" ref="D54">IFERROR(
    _xlfn.TEXTJOIN(
        "; ",
        TRUE,
        _xlfn._xlws.FILTER(
            IF(
                ISNUMBER(SEARCH("Terradex",E54)),
                TEXT(ROUND(PRICING[Rebate $]/AB54,2),"$#,##0.00")&amp;
                " off per gal with "&amp;
                SUBSTITUTE(PRICING[Min Qty]," gal","")&amp;
                " + Terradex gallons",
                TEXT(PRICING[Rebate $],"$#,##0.00")&amp;
                " off on "&amp;
                IF(
                    (PRICING[Min Qty]="")+(PRICING[Min Qty]=0),
                    "1 unit",
                    PRICING[Min Qty]&amp;" units"
                )
            ),
            (PRICING[SKU]=$A54)*
            (
                ISNUMBER(SEARCH("Terradex",E54))+
                (
                    (PRICING[Rebate $]&lt;&gt;"")*
                    (PRICING[Rebate $]&lt;&gt;0)
                )
            )
        )
    ),
    "n/a"
)</f>
        <v>$5.50 off on 1 unit</v>
      </c>
      <c r="E54" s="122" t="str">
        <f>_xlfn.XLOOKUP(A54, PRICING[SKU], PRICING[Product], "")</f>
        <v>Durentis® 0.067% On-Fertilizer</v>
      </c>
      <c r="F54" s="37" t="str">
        <f>_xlfn.XLOOKUP(A54, PRICING[SKU], PRICING[Size], "")</f>
        <v>50 lb</v>
      </c>
      <c r="G54" s="123" t="str">
        <f>IF(_xlfn.XLOOKUP(A54,PRICING[SKU],PRICING[Indication])="I","Insecticide",
 IF(_xlfn.XLOOKUP(A54,PRICING[SKU],PRICING[Indication])="H","Herbicide",
 IF(_xlfn.XLOOKUP(A54,PRICING[SKU],PRICING[Indication])="F","Fungicide",
 IF(_xlfn.XLOOKUP(A54,PRICING[SKU],PRICING[Indication])="PGR","PGR",""))))</f>
        <v>Insecticide</v>
      </c>
      <c r="H54" s="109"/>
      <c r="I54" s="110"/>
      <c r="J54" s="38">
        <f>INDEX(PRICING[NOW Price],MATCH(A54,PRICING[SKU],0))</f>
        <v>25</v>
      </c>
      <c r="K54" s="38" t="str">
        <f>IF(OR(H54="",O54=""),"",
IF(O54=1,INDEX(Rebate_Lookup[REB_MOQ_1],MATCH(A54,Rebate_Lookup[SKU CODE],0)),
IF(O54=2,INDEX(Rebate_Lookup[REB_MOQ_2],MATCH(A54,Rebate_Lookup[SKU CODE],0)),
IF(O54=3,INDEX(Rebate_Lookup[REB_MOQ_3],MATCH(A54,Rebate_Lookup[SKU CODE],0)),
IF(O54=4,INDEX(Rebate_Lookup[REB_MOQ_4],MATCH(A54,Rebate_Lookup[SKU CODE],0)),
"#err")))))</f>
        <v/>
      </c>
      <c r="L54" s="38" t="str">
        <f t="shared" si="20"/>
        <v/>
      </c>
      <c r="M54" s="124" t="str">
        <f t="shared" si="21"/>
        <v/>
      </c>
      <c r="N54" s="125" t="str">
        <f t="shared" si="22"/>
        <v/>
      </c>
      <c r="O54" s="270" t="str">
        <f>IF(H54="","",INDEX(Rebate_Lookup[Qualified Rebate Tier],MATCH(A54,Rebate_Lookup[SKU CODE],0)))</f>
        <v/>
      </c>
      <c r="P54" s="38" t="str">
        <f t="shared" si="23"/>
        <v/>
      </c>
      <c r="Q54" s="126" t="str">
        <f t="shared" si="24"/>
        <v/>
      </c>
      <c r="R54" s="127"/>
      <c r="S54" s="128"/>
      <c r="T54" s="272" cm="1">
        <f t="array" ref="T54">IF(OR(H54="",H54=0),
ROUND(_xlfn.XLOOKUP(1,(PRICING[SKU]=A54)*(PRICING[Set]=1),PRICING[Standard Use Rate (oz/M)]),2),ROUND(
_xlfn.XLOOKUP(
1,
(PRICING[SKU]=A54)*
(PRICING[Set]=IF(
_xlfn.XLOOKUP(A54,Rebate_Lookup[SKU CODE],Rebate_Lookup[MOQ_2])=0,
1,
IF(
AND(
_xlfn.XLOOKUP(A54,Rebate_Lookup[SKU CODE],Rebate_Lookup[MOQ_3])=0,
H54&gt;=_xlfn.XLOOKUP(A54,Rebate_Lookup[SKU CODE],Rebate_Lookup[MOQ_2])
),
2,
IF(
AND(
H54&gt;=_xlfn.XLOOKUP(A54,Rebate_Lookup[SKU CODE],Rebate_Lookup[MOQ_1]),
H54&lt;_xlfn.XLOOKUP(A54,Rebate_Lookup[SKU CODE],Rebate_Lookup[MOQ_2])
),
1,
IF(
AND(
H54&gt;=_xlfn.XLOOKUP(A54,Rebate_Lookup[SKU CODE],Rebate_Lookup[MOQ_2]),
OR(
_xlfn.XLOOKUP(A54,Rebate_Lookup[SKU CODE],Rebate_Lookup[MOQ_3])=0,
H54&lt;_xlfn.XLOOKUP(A54,Rebate_Lookup[SKU CODE],Rebate_Lookup[MOQ_3])
)
),
2,
IF(
OR(
AND(
_xlfn.XLOOKUP(A54,Rebate_Lookup[SKU CODE],Rebate_Lookup[MOQ_4])=0,
H54&gt;=_xlfn.XLOOKUP(A54,Rebate_Lookup[SKU CODE],Rebate_Lookup[MOQ_3])
),
AND(
_xlfn.XLOOKUP(A54,Rebate_Lookup[SKU CODE],Rebate_Lookup[MOQ_4])&gt;0,
H54&gt;=_xlfn.XLOOKUP(A54,Rebate_Lookup[SKU CODE],Rebate_Lookup[MOQ_3]),
H54&lt;_xlfn.XLOOKUP(A54,Rebate_Lookup[SKU CODE],Rebate_Lookup[MOQ_4])
)
),
3,
IF(
AND(
_xlfn.XLOOKUP(A54,Rebate_Lookup[SKU CODE],Rebate_Lookup[MOQ_4])&gt;0,
H54&gt;=_xlfn.XLOOKUP(A54,Rebate_Lookup[SKU CODE],Rebate_Lookup[MOQ_4])
),
4,
1
)
)
)
)
)
)),
PRICING[Standard Use Rate (oz/M)]
),
2
))</f>
        <v>3.44</v>
      </c>
      <c r="U54" s="129">
        <f t="shared" si="25"/>
        <v>149.85</v>
      </c>
      <c r="V54" s="129" t="str">
        <f>IF(AND(TRIM(U54)&lt;&gt;"",TRIM(H54)&lt;&gt;""),ROUND(H54*INDEX(PRICING[Package Ounces],MATCH(A54,PRICING[SKU],0))/U54,2),"")</f>
        <v/>
      </c>
      <c r="W54" s="247">
        <f t="shared" si="17"/>
        <v>0</v>
      </c>
      <c r="X54" s="248">
        <f t="shared" si="18"/>
        <v>0</v>
      </c>
      <c r="Y54" s="90"/>
      <c r="AC54" s="90"/>
      <c r="AD54" s="90"/>
      <c r="AE54" s="90"/>
      <c r="AF54" s="90"/>
      <c r="AG54" s="90"/>
      <c r="AH54" s="90"/>
      <c r="AI54" s="90"/>
      <c r="AJ54" s="90"/>
      <c r="AK54" s="90"/>
      <c r="AL54" s="90"/>
      <c r="AM54" s="90"/>
      <c r="AN54" s="90"/>
      <c r="AO54" s="90"/>
      <c r="AP54" s="90"/>
      <c r="AQ54" s="90"/>
      <c r="AR54" s="90"/>
      <c r="AS54" s="90"/>
      <c r="AT54" s="90"/>
      <c r="AU54" s="90"/>
      <c r="AV54" s="90"/>
      <c r="AW54" s="90"/>
      <c r="AX54" s="90"/>
      <c r="AY54" s="90"/>
      <c r="AZ54" s="90"/>
      <c r="BA54" s="90"/>
      <c r="BB54" s="90"/>
      <c r="BC54" s="90"/>
      <c r="BD54" s="90"/>
      <c r="BE54" s="90"/>
      <c r="BF54" s="90"/>
    </row>
    <row r="55" spans="1:58" ht="18" customHeight="1" x14ac:dyDescent="0.2">
      <c r="A55" s="253" t="s">
        <v>71</v>
      </c>
      <c r="B55" s="259" t="b">
        <f t="shared" si="19"/>
        <v>0</v>
      </c>
      <c r="D55" s="268" t="str" cm="1">
        <f t="array" ref="D55">IFERROR(
    _xlfn.TEXTJOIN(
        "; ",
        TRUE,
        _xlfn._xlws.FILTER(
            IF(
                ISNUMBER(SEARCH("Terradex",E55)),
                TEXT(ROUND(PRICING[Rebate $]/AB55,2),"$#,##0.00")&amp;
                " off per gal with "&amp;
                SUBSTITUTE(PRICING[Min Qty]," gal","")&amp;
                " + Terradex gallons",
                TEXT(PRICING[Rebate $],"$#,##0.00")&amp;
                " off on "&amp;
                IF(
                    (PRICING[Min Qty]="")+(PRICING[Min Qty]=0),
                    "1 unit",
                    PRICING[Min Qty]&amp;" units"
                )
            ),
            (PRICING[SKU]=$A55)*
            (
                ISNUMBER(SEARCH("Terradex",E55))+
                (
                    (PRICING[Rebate $]&lt;&gt;"")*
                    (PRICING[Rebate $]&lt;&gt;0)
                )
            )
        )
    ),
    "n/a"
)</f>
        <v>$4.00 off on 1 unit</v>
      </c>
      <c r="E55" s="122" t="str">
        <f>_xlfn.XLOOKUP(A55, PRICING[SKU], PRICING[Product], "")</f>
        <v xml:space="preserve">Dylox® 420 SL </v>
      </c>
      <c r="F55" s="37" t="str">
        <f>_xlfn.XLOOKUP(A55, PRICING[SKU], PRICING[Size], "")</f>
        <v xml:space="preserve">2.5 gal </v>
      </c>
      <c r="G55" s="123" t="str">
        <f>IF(_xlfn.XLOOKUP(A55,PRICING[SKU],PRICING[Indication])="I","Insecticide",
 IF(_xlfn.XLOOKUP(A55,PRICING[SKU],PRICING[Indication])="H","Herbicide",
 IF(_xlfn.XLOOKUP(A55,PRICING[SKU],PRICING[Indication])="F","Fungicide",
 IF(_xlfn.XLOOKUP(A55,PRICING[SKU],PRICING[Indication])="PGR","PGR",""))))</f>
        <v>Insecticide</v>
      </c>
      <c r="H55" s="109"/>
      <c r="I55" s="110"/>
      <c r="J55" s="38">
        <f>INDEX(PRICING[NOW Price],MATCH(A55,PRICING[SKU],0))</f>
        <v>239.09</v>
      </c>
      <c r="K55" s="38" t="str">
        <f>IF(OR(H55="",O55=""),"",
IF(O55=1,INDEX(Rebate_Lookup[REB_MOQ_1],MATCH(A55,Rebate_Lookup[SKU CODE],0)),
IF(O55=2,INDEX(Rebate_Lookup[REB_MOQ_2],MATCH(A55,Rebate_Lookup[SKU CODE],0)),
IF(O55=3,INDEX(Rebate_Lookup[REB_MOQ_3],MATCH(A55,Rebate_Lookup[SKU CODE],0)),
IF(O55=4,INDEX(Rebate_Lookup[REB_MOQ_4],MATCH(A55,Rebate_Lookup[SKU CODE],0)),
"#err")))))</f>
        <v/>
      </c>
      <c r="L55" s="38" t="str">
        <f t="shared" si="20"/>
        <v/>
      </c>
      <c r="M55" s="124" t="str">
        <f t="shared" si="21"/>
        <v/>
      </c>
      <c r="N55" s="125" t="str">
        <f t="shared" si="22"/>
        <v/>
      </c>
      <c r="O55" s="270" t="str">
        <f>IF(H55="","",INDEX(Rebate_Lookup[Qualified Rebate Tier],MATCH(A55,Rebate_Lookup[SKU CODE],0)))</f>
        <v/>
      </c>
      <c r="P55" s="38" t="str">
        <f t="shared" si="23"/>
        <v/>
      </c>
      <c r="Q55" s="126" t="str">
        <f t="shared" si="24"/>
        <v/>
      </c>
      <c r="R55" s="127"/>
      <c r="S55" s="128"/>
      <c r="T55" s="272" cm="1">
        <f t="array" ref="T55">IF(OR(H55="",H55=0),
ROUND(_xlfn.XLOOKUP(1,(PRICING[SKU]=A55)*(PRICING[Set]=1),PRICING[Standard Use Rate (oz/M)]),2),ROUND(
_xlfn.XLOOKUP(
1,
(PRICING[SKU]=A55)*
(PRICING[Set]=IF(
_xlfn.XLOOKUP(A55,Rebate_Lookup[SKU CODE],Rebate_Lookup[MOQ_2])=0,
1,
IF(
AND(
_xlfn.XLOOKUP(A55,Rebate_Lookup[SKU CODE],Rebate_Lookup[MOQ_3])=0,
H55&gt;=_xlfn.XLOOKUP(A55,Rebate_Lookup[SKU CODE],Rebate_Lookup[MOQ_2])
),
2,
IF(
AND(
H55&gt;=_xlfn.XLOOKUP(A55,Rebate_Lookup[SKU CODE],Rebate_Lookup[MOQ_1]),
H55&lt;_xlfn.XLOOKUP(A55,Rebate_Lookup[SKU CODE],Rebate_Lookup[MOQ_2])
),
1,
IF(
AND(
H55&gt;=_xlfn.XLOOKUP(A55,Rebate_Lookup[SKU CODE],Rebate_Lookup[MOQ_2]),
OR(
_xlfn.XLOOKUP(A55,Rebate_Lookup[SKU CODE],Rebate_Lookup[MOQ_3])=0,
H55&lt;_xlfn.XLOOKUP(A55,Rebate_Lookup[SKU CODE],Rebate_Lookup[MOQ_3])
)
),
2,
IF(
OR(
AND(
_xlfn.XLOOKUP(A55,Rebate_Lookup[SKU CODE],Rebate_Lookup[MOQ_4])=0,
H55&gt;=_xlfn.XLOOKUP(A55,Rebate_Lookup[SKU CODE],Rebate_Lookup[MOQ_3])
),
AND(
_xlfn.XLOOKUP(A55,Rebate_Lookup[SKU CODE],Rebate_Lookup[MOQ_4])&gt;0,
H55&gt;=_xlfn.XLOOKUP(A55,Rebate_Lookup[SKU CODE],Rebate_Lookup[MOQ_3]),
H55&lt;_xlfn.XLOOKUP(A55,Rebate_Lookup[SKU CODE],Rebate_Lookup[MOQ_4])
)
),
3,
IF(
AND(
_xlfn.XLOOKUP(A55,Rebate_Lookup[SKU CODE],Rebate_Lookup[MOQ_4])&gt;0,
H55&gt;=_xlfn.XLOOKUP(A55,Rebate_Lookup[SKU CODE],Rebate_Lookup[MOQ_4])
),
4,
1
)
)
)
)
)
)),
PRICING[Standard Use Rate (oz/M)]
),
2
))</f>
        <v>6.9</v>
      </c>
      <c r="U55" s="129">
        <f t="shared" si="25"/>
        <v>300.56</v>
      </c>
      <c r="V55" s="129" t="str">
        <f>IF(AND(TRIM(U55)&lt;&gt;"",TRIM(H55)&lt;&gt;""),ROUND(H55*INDEX(PRICING[Package Ounces],MATCH(A55,PRICING[SKU],0))/U55,2),"")</f>
        <v/>
      </c>
      <c r="W55" s="247">
        <f t="shared" si="17"/>
        <v>0</v>
      </c>
      <c r="X55" s="248">
        <f t="shared" si="18"/>
        <v>0</v>
      </c>
      <c r="Y55" s="90"/>
      <c r="AC55" s="90"/>
      <c r="AD55" s="90"/>
      <c r="AE55" s="90"/>
      <c r="AF55" s="90"/>
      <c r="AG55" s="90"/>
      <c r="AH55" s="90"/>
      <c r="AI55" s="90"/>
      <c r="AJ55" s="90"/>
      <c r="AK55" s="90"/>
      <c r="AL55" s="90"/>
      <c r="AM55" s="90"/>
      <c r="AN55" s="90"/>
      <c r="AO55" s="90"/>
      <c r="AP55" s="90"/>
      <c r="AQ55" s="90"/>
      <c r="AR55" s="90"/>
      <c r="AS55" s="90"/>
      <c r="AT55" s="90"/>
      <c r="AU55" s="90"/>
      <c r="AV55" s="90"/>
      <c r="AW55" s="90"/>
      <c r="AX55" s="90"/>
      <c r="AY55" s="90"/>
      <c r="AZ55" s="90"/>
      <c r="BA55" s="90"/>
      <c r="BB55" s="90"/>
      <c r="BC55" s="90"/>
      <c r="BD55" s="90"/>
      <c r="BE55" s="90"/>
      <c r="BF55" s="90"/>
    </row>
    <row r="56" spans="1:58" ht="18" customHeight="1" x14ac:dyDescent="0.2">
      <c r="A56" s="255" t="s">
        <v>72</v>
      </c>
      <c r="B56" s="259" t="b">
        <f t="shared" si="19"/>
        <v>0</v>
      </c>
      <c r="D56" s="268" t="str" cm="1">
        <f t="array" ref="D56">IFERROR(
    _xlfn.TEXTJOIN(
        "; ",
        TRUE,
        _xlfn._xlws.FILTER(
            IF(
                ISNUMBER(SEARCH("Terradex",E56)),
                TEXT(ROUND(PRICING[Rebate $]/AB56,2),"$#,##0.00")&amp;
                " off per gal with "&amp;
                SUBSTITUTE(PRICING[Min Qty]," gal","")&amp;
                " + Terradex gallons",
                TEXT(PRICING[Rebate $],"$#,##0.00")&amp;
                " off on "&amp;
                IF(
                    (PRICING[Min Qty]="")+(PRICING[Min Qty]=0),
                    "1 unit",
                    PRICING[Min Qty]&amp;" units"
                )
            ),
            (PRICING[SKU]=$A56)*
            (
                ISNUMBER(SEARCH("Terradex",E56))+
                (
                    (PRICING[Rebate $]&lt;&gt;"")*
                    (PRICING[Rebate $]&lt;&gt;0)
                )
            )
        )
    ),
    "n/a"
)</f>
        <v>n/a</v>
      </c>
      <c r="E56" s="122" t="str">
        <f>_xlfn.XLOOKUP(A56, PRICING[SKU], PRICING[Product], "")</f>
        <v>Dylox® 6.2 G</v>
      </c>
      <c r="F56" s="37" t="str">
        <f>_xlfn.XLOOKUP(A56, PRICING[SKU], PRICING[Size], "")</f>
        <v>30 lb</v>
      </c>
      <c r="G56" s="123" t="str">
        <f>IF(_xlfn.XLOOKUP(A56,PRICING[SKU],PRICING[Indication])="I","Insecticide",
 IF(_xlfn.XLOOKUP(A56,PRICING[SKU],PRICING[Indication])="H","Herbicide",
 IF(_xlfn.XLOOKUP(A56,PRICING[SKU],PRICING[Indication])="F","Fungicide",
 IF(_xlfn.XLOOKUP(A56,PRICING[SKU],PRICING[Indication])="PGR","PGR",""))))</f>
        <v>Insecticide</v>
      </c>
      <c r="H56" s="109"/>
      <c r="I56" s="110"/>
      <c r="J56" s="38">
        <f>INDEX(PRICING[NOW Price],MATCH(A56,PRICING[SKU],0))</f>
        <v>54.35</v>
      </c>
      <c r="K56" s="38" t="str">
        <f>IF(OR(H56="",O56=""),"",
IF(O56=1,INDEX(Rebate_Lookup[REB_MOQ_1],MATCH(A56,Rebate_Lookup[SKU CODE],0)),
IF(O56=2,INDEX(Rebate_Lookup[REB_MOQ_2],MATCH(A56,Rebate_Lookup[SKU CODE],0)),
IF(O56=3,INDEX(Rebate_Lookup[REB_MOQ_3],MATCH(A56,Rebate_Lookup[SKU CODE],0)),
IF(O56=4,INDEX(Rebate_Lookup[REB_MOQ_4],MATCH(A56,Rebate_Lookup[SKU CODE],0)),
"#err")))))</f>
        <v/>
      </c>
      <c r="L56" s="38" t="str">
        <f t="shared" si="20"/>
        <v/>
      </c>
      <c r="M56" s="124" t="str">
        <f t="shared" si="21"/>
        <v/>
      </c>
      <c r="N56" s="125" t="str">
        <f t="shared" si="22"/>
        <v/>
      </c>
      <c r="O56" s="270" t="str">
        <f>IF(H56="","",INDEX(Rebate_Lookup[Qualified Rebate Tier],MATCH(A56,Rebate_Lookup[SKU CODE],0)))</f>
        <v/>
      </c>
      <c r="P56" s="38" t="str">
        <f t="shared" si="23"/>
        <v/>
      </c>
      <c r="Q56" s="126" t="str">
        <f t="shared" si="24"/>
        <v/>
      </c>
      <c r="R56" s="127"/>
      <c r="S56" s="128"/>
      <c r="T56" s="272" cm="1">
        <f t="array" ref="T56">IF(OR(H56="",H56=0),
ROUND(_xlfn.XLOOKUP(1,(PRICING[SKU]=A56)*(PRICING[Set]=1),PRICING[Standard Use Rate (oz/M)]),2),ROUND(
_xlfn.XLOOKUP(
1,
(PRICING[SKU]=A56)*
(PRICING[Set]=IF(
_xlfn.XLOOKUP(A56,Rebate_Lookup[SKU CODE],Rebate_Lookup[MOQ_2])=0,
1,
IF(
AND(
_xlfn.XLOOKUP(A56,Rebate_Lookup[SKU CODE],Rebate_Lookup[MOQ_3])=0,
H56&gt;=_xlfn.XLOOKUP(A56,Rebate_Lookup[SKU CODE],Rebate_Lookup[MOQ_2])
),
2,
IF(
AND(
H56&gt;=_xlfn.XLOOKUP(A56,Rebate_Lookup[SKU CODE],Rebate_Lookup[MOQ_1]),
H56&lt;_xlfn.XLOOKUP(A56,Rebate_Lookup[SKU CODE],Rebate_Lookup[MOQ_2])
),
1,
IF(
AND(
H56&gt;=_xlfn.XLOOKUP(A56,Rebate_Lookup[SKU CODE],Rebate_Lookup[MOQ_2]),
OR(
_xlfn.XLOOKUP(A56,Rebate_Lookup[SKU CODE],Rebate_Lookup[MOQ_3])=0,
H56&lt;_xlfn.XLOOKUP(A56,Rebate_Lookup[SKU CODE],Rebate_Lookup[MOQ_3])
)
),
2,
IF(
OR(
AND(
_xlfn.XLOOKUP(A56,Rebate_Lookup[SKU CODE],Rebate_Lookup[MOQ_4])=0,
H56&gt;=_xlfn.XLOOKUP(A56,Rebate_Lookup[SKU CODE],Rebate_Lookup[MOQ_3])
),
AND(
_xlfn.XLOOKUP(A56,Rebate_Lookup[SKU CODE],Rebate_Lookup[MOQ_4])&gt;0,
H56&gt;=_xlfn.XLOOKUP(A56,Rebate_Lookup[SKU CODE],Rebate_Lookup[MOQ_3]),
H56&lt;_xlfn.XLOOKUP(A56,Rebate_Lookup[SKU CODE],Rebate_Lookup[MOQ_4])
)
),
3,
IF(
AND(
_xlfn.XLOOKUP(A56,Rebate_Lookup[SKU CODE],Rebate_Lookup[MOQ_4])&gt;0,
H56&gt;=_xlfn.XLOOKUP(A56,Rebate_Lookup[SKU CODE],Rebate_Lookup[MOQ_4])
),
4,
1
)
)
)
)
)
)),
PRICING[Standard Use Rate (oz/M)]
),
2
))</f>
        <v>3</v>
      </c>
      <c r="U56" s="129">
        <f t="shared" si="25"/>
        <v>130.68</v>
      </c>
      <c r="V56" s="129" t="str">
        <f>IF(AND(TRIM(U56)&lt;&gt;"",TRIM(H56)&lt;&gt;""),ROUND(H56*INDEX(PRICING[Package Ounces],MATCH(A56,PRICING[SKU],0))/U56,2),"")</f>
        <v/>
      </c>
      <c r="W56" s="247">
        <f t="shared" si="17"/>
        <v>0</v>
      </c>
      <c r="X56" s="248">
        <f t="shared" si="18"/>
        <v>0</v>
      </c>
      <c r="Y56" s="90"/>
      <c r="AC56" s="90"/>
      <c r="AD56" s="90"/>
      <c r="AE56" s="90"/>
      <c r="AF56" s="90"/>
      <c r="AG56" s="90"/>
      <c r="AH56" s="90"/>
      <c r="AI56" s="90"/>
      <c r="AJ56" s="90"/>
      <c r="AK56" s="90"/>
      <c r="AL56" s="90"/>
      <c r="AM56" s="90"/>
      <c r="AN56" s="90"/>
      <c r="AO56" s="90"/>
      <c r="AP56" s="90"/>
      <c r="AQ56" s="90"/>
      <c r="AR56" s="90"/>
      <c r="AS56" s="90"/>
      <c r="AT56" s="90"/>
      <c r="AU56" s="90"/>
      <c r="AV56" s="90"/>
      <c r="AW56" s="90"/>
      <c r="AX56" s="90"/>
      <c r="AY56" s="90"/>
      <c r="AZ56" s="90"/>
      <c r="BA56" s="90"/>
      <c r="BB56" s="90"/>
      <c r="BC56" s="90"/>
      <c r="BD56" s="90"/>
      <c r="BE56" s="90"/>
      <c r="BF56" s="90"/>
    </row>
    <row r="57" spans="1:58" ht="18" customHeight="1" x14ac:dyDescent="0.2">
      <c r="A57" s="253" t="s">
        <v>73</v>
      </c>
      <c r="B57" s="259" t="b">
        <f t="shared" si="19"/>
        <v>0</v>
      </c>
      <c r="D57" s="268" t="str" cm="1">
        <f t="array" ref="D57">IFERROR(
    _xlfn.TEXTJOIN(
        "; ",
        TRUE,
        _xlfn._xlws.FILTER(
            IF(
                ISNUMBER(SEARCH("Terradex",E57)),
                TEXT(ROUND(PRICING[Rebate $]/AB57,2),"$#,##0.00")&amp;
                " off per gal with "&amp;
                SUBSTITUTE(PRICING[Min Qty]," gal","")&amp;
                " + Terradex gallons",
                TEXT(PRICING[Rebate $],"$#,##0.00")&amp;
                " off on "&amp;
                IF(
                    (PRICING[Min Qty]="")+(PRICING[Min Qty]=0),
                    "1 unit",
                    PRICING[Min Qty]&amp;" units"
                )
            ),
            (PRICING[SKU]=$A57)*
            (
                ISNUMBER(SEARCH("Terradex",E57))+
                (
                    (PRICING[Rebate $]&lt;&gt;"")*
                    (PRICING[Rebate $]&lt;&gt;0)
                )
            )
        )
    ),
    "n/a"
)</f>
        <v>$1.00 off on 1 unit</v>
      </c>
      <c r="E57" s="122" t="str">
        <f>_xlfn.XLOOKUP(A57, PRICING[SKU], PRICING[Product], "")</f>
        <v>Merit® 2F®</v>
      </c>
      <c r="F57" s="37" t="str">
        <f>_xlfn.XLOOKUP(A57, PRICING[SKU], PRICING[Size], "")</f>
        <v>1 gal</v>
      </c>
      <c r="G57" s="123" t="str">
        <f>IF(_xlfn.XLOOKUP(A57,PRICING[SKU],PRICING[Indication])="I","Insecticide",
 IF(_xlfn.XLOOKUP(A57,PRICING[SKU],PRICING[Indication])="H","Herbicide",
 IF(_xlfn.XLOOKUP(A57,PRICING[SKU],PRICING[Indication])="F","Fungicide",
 IF(_xlfn.XLOOKUP(A57,PRICING[SKU],PRICING[Indication])="PGR","PGR",""))))</f>
        <v>Insecticide</v>
      </c>
      <c r="H57" s="109"/>
      <c r="I57" s="110"/>
      <c r="J57" s="38">
        <f>INDEX(PRICING[NOW Price],MATCH(A57,PRICING[SKU],0))</f>
        <v>53.55</v>
      </c>
      <c r="K57" s="38" t="str">
        <f>IF(OR(H57="",O57=""),"",
IF(O57=1,INDEX(Rebate_Lookup[REB_MOQ_1],MATCH(A57,Rebate_Lookup[SKU CODE],0)),
IF(O57=2,INDEX(Rebate_Lookup[REB_MOQ_2],MATCH(A57,Rebate_Lookup[SKU CODE],0)),
IF(O57=3,INDEX(Rebate_Lookup[REB_MOQ_3],MATCH(A57,Rebate_Lookup[SKU CODE],0)),
IF(O57=4,INDEX(Rebate_Lookup[REB_MOQ_4],MATCH(A57,Rebate_Lookup[SKU CODE],0)),
"#err")))))</f>
        <v/>
      </c>
      <c r="L57" s="38" t="str">
        <f t="shared" si="20"/>
        <v/>
      </c>
      <c r="M57" s="124" t="str">
        <f t="shared" si="21"/>
        <v/>
      </c>
      <c r="N57" s="125" t="str">
        <f t="shared" si="22"/>
        <v/>
      </c>
      <c r="O57" s="270" t="str">
        <f>IF(H57="","",INDEX(Rebate_Lookup[Qualified Rebate Tier],MATCH(A57,Rebate_Lookup[SKU CODE],0)))</f>
        <v/>
      </c>
      <c r="P57" s="38" t="str">
        <f t="shared" si="23"/>
        <v/>
      </c>
      <c r="Q57" s="126" t="str">
        <f t="shared" si="24"/>
        <v/>
      </c>
      <c r="R57" s="127"/>
      <c r="S57" s="128"/>
      <c r="T57" s="272" cm="1">
        <f t="array" ref="T57">IF(OR(H57="",H57=0),
ROUND(_xlfn.XLOOKUP(1,(PRICING[SKU]=A57)*(PRICING[Set]=1),PRICING[Standard Use Rate (oz/M)]),2),ROUND(
_xlfn.XLOOKUP(
1,
(PRICING[SKU]=A57)*
(PRICING[Set]=IF(
_xlfn.XLOOKUP(A57,Rebate_Lookup[SKU CODE],Rebate_Lookup[MOQ_2])=0,
1,
IF(
AND(
_xlfn.XLOOKUP(A57,Rebate_Lookup[SKU CODE],Rebate_Lookup[MOQ_3])=0,
H57&gt;=_xlfn.XLOOKUP(A57,Rebate_Lookup[SKU CODE],Rebate_Lookup[MOQ_2])
),
2,
IF(
AND(
H57&gt;=_xlfn.XLOOKUP(A57,Rebate_Lookup[SKU CODE],Rebate_Lookup[MOQ_1]),
H57&lt;_xlfn.XLOOKUP(A57,Rebate_Lookup[SKU CODE],Rebate_Lookup[MOQ_2])
),
1,
IF(
AND(
H57&gt;=_xlfn.XLOOKUP(A57,Rebate_Lookup[SKU CODE],Rebate_Lookup[MOQ_2]),
OR(
_xlfn.XLOOKUP(A57,Rebate_Lookup[SKU CODE],Rebate_Lookup[MOQ_3])=0,
H57&lt;_xlfn.XLOOKUP(A57,Rebate_Lookup[SKU CODE],Rebate_Lookup[MOQ_3])
)
),
2,
IF(
OR(
AND(
_xlfn.XLOOKUP(A57,Rebate_Lookup[SKU CODE],Rebate_Lookup[MOQ_4])=0,
H57&gt;=_xlfn.XLOOKUP(A57,Rebate_Lookup[SKU CODE],Rebate_Lookup[MOQ_3])
),
AND(
_xlfn.XLOOKUP(A57,Rebate_Lookup[SKU CODE],Rebate_Lookup[MOQ_4])&gt;0,
H57&gt;=_xlfn.XLOOKUP(A57,Rebate_Lookup[SKU CODE],Rebate_Lookup[MOQ_3]),
H57&lt;_xlfn.XLOOKUP(A57,Rebate_Lookup[SKU CODE],Rebate_Lookup[MOQ_4])
)
),
3,
IF(
AND(
_xlfn.XLOOKUP(A57,Rebate_Lookup[SKU CODE],Rebate_Lookup[MOQ_4])&gt;0,
H57&gt;=_xlfn.XLOOKUP(A57,Rebate_Lookup[SKU CODE],Rebate_Lookup[MOQ_4])
),
4,
1
)
)
)
)
)
)),
PRICING[Standard Use Rate (oz/M)]
),
2
))</f>
        <v>0.6</v>
      </c>
      <c r="U57" s="129">
        <f t="shared" si="25"/>
        <v>26.14</v>
      </c>
      <c r="V57" s="129" t="str">
        <f>IF(AND(TRIM(U57)&lt;&gt;"",TRIM(H57)&lt;&gt;""),ROUND(H57*INDEX(PRICING[Package Ounces],MATCH(A57,PRICING[SKU],0))/U57,2),"")</f>
        <v/>
      </c>
      <c r="W57" s="247">
        <f t="shared" si="17"/>
        <v>0</v>
      </c>
      <c r="X57" s="248">
        <f t="shared" si="18"/>
        <v>0</v>
      </c>
      <c r="Y57" s="90"/>
      <c r="AC57" s="90"/>
      <c r="AD57" s="90"/>
      <c r="AE57" s="90"/>
      <c r="AF57" s="90"/>
      <c r="AG57" s="90"/>
      <c r="AH57" s="90"/>
      <c r="AI57" s="90"/>
      <c r="AJ57" s="90"/>
      <c r="AK57" s="90"/>
      <c r="AL57" s="90"/>
      <c r="AM57" s="90"/>
      <c r="AN57" s="90"/>
      <c r="AO57" s="90"/>
      <c r="AP57" s="90"/>
      <c r="AQ57" s="90"/>
      <c r="AR57" s="90"/>
      <c r="AS57" s="90"/>
      <c r="AT57" s="90"/>
      <c r="AU57" s="90"/>
      <c r="AV57" s="90"/>
      <c r="AW57" s="90"/>
      <c r="AX57" s="90"/>
      <c r="AY57" s="90"/>
      <c r="AZ57" s="90"/>
      <c r="BA57" s="90"/>
      <c r="BB57" s="90"/>
      <c r="BC57" s="90"/>
      <c r="BD57" s="90"/>
      <c r="BE57" s="90"/>
      <c r="BF57" s="90"/>
    </row>
    <row r="58" spans="1:58" ht="18" customHeight="1" x14ac:dyDescent="0.2">
      <c r="A58" s="255" t="s">
        <v>74</v>
      </c>
      <c r="B58" s="259" t="b">
        <f t="shared" si="19"/>
        <v>0</v>
      </c>
      <c r="D58" s="268" t="str" cm="1">
        <f t="array" ref="D58">IFERROR(
    _xlfn.TEXTJOIN(
        "; ",
        TRUE,
        _xlfn._xlws.FILTER(
            IF(
                ISNUMBER(SEARCH("Terradex",E58)),
                TEXT(ROUND(PRICING[Rebate $]/AB58,2),"$#,##0.00")&amp;
                " off per gal with "&amp;
                SUBSTITUTE(PRICING[Min Qty]," gal","")&amp;
                " + Terradex gallons",
                TEXT(PRICING[Rebate $],"$#,##0.00")&amp;
                " off on "&amp;
                IF(
                    (PRICING[Min Qty]="")+(PRICING[Min Qty]=0),
                    "1 unit",
                    PRICING[Min Qty]&amp;" units"
                )
            ),
            (PRICING[SKU]=$A58)*
            (
                ISNUMBER(SEARCH("Terradex",E58))+
                (
                    (PRICING[Rebate $]&lt;&gt;"")*
                    (PRICING[Rebate $]&lt;&gt;0)
                )
            )
        )
    ),
    "n/a"
)</f>
        <v>n/a</v>
      </c>
      <c r="E58" s="122" t="str">
        <f>_xlfn.XLOOKUP(A58, PRICING[SKU], PRICING[Product], "")</f>
        <v>Merit WP 75</v>
      </c>
      <c r="F58" s="37" t="str">
        <f>_xlfn.XLOOKUP(A58, PRICING[SKU], PRICING[Size], "")</f>
        <v>1.6 oz</v>
      </c>
      <c r="G58" s="123" t="str">
        <f>IF(_xlfn.XLOOKUP(A58,PRICING[SKU],PRICING[Indication])="I","Insecticide",
 IF(_xlfn.XLOOKUP(A58,PRICING[SKU],PRICING[Indication])="H","Herbicide",
 IF(_xlfn.XLOOKUP(A58,PRICING[SKU],PRICING[Indication])="F","Fungicide",
 IF(_xlfn.XLOOKUP(A58,PRICING[SKU],PRICING[Indication])="PGR","PGR",""))))</f>
        <v>Insecticide</v>
      </c>
      <c r="H58" s="109"/>
      <c r="I58" s="110"/>
      <c r="J58" s="38">
        <f>INDEX(PRICING[NOW Price],MATCH(A58,PRICING[SKU],0))</f>
        <v>26.42</v>
      </c>
      <c r="K58" s="38" t="str">
        <f>IF(OR(H58="",O58=""),"",
IF(O58=1,INDEX(Rebate_Lookup[REB_MOQ_1],MATCH(A58,Rebate_Lookup[SKU CODE],0)),
IF(O58=2,INDEX(Rebate_Lookup[REB_MOQ_2],MATCH(A58,Rebate_Lookup[SKU CODE],0)),
IF(O58=3,INDEX(Rebate_Lookup[REB_MOQ_3],MATCH(A58,Rebate_Lookup[SKU CODE],0)),
IF(O58=4,INDEX(Rebate_Lookup[REB_MOQ_4],MATCH(A58,Rebate_Lookup[SKU CODE],0)),
"#err")))))</f>
        <v/>
      </c>
      <c r="L58" s="38" t="str">
        <f t="shared" si="20"/>
        <v/>
      </c>
      <c r="M58" s="124" t="str">
        <f t="shared" si="21"/>
        <v/>
      </c>
      <c r="N58" s="125" t="str">
        <f t="shared" si="22"/>
        <v/>
      </c>
      <c r="O58" s="270" t="str">
        <f>IF(H58="","",INDEX(Rebate_Lookup[Qualified Rebate Tier],MATCH(A58,Rebate_Lookup[SKU CODE],0)))</f>
        <v/>
      </c>
      <c r="P58" s="38" t="str">
        <f t="shared" si="23"/>
        <v/>
      </c>
      <c r="Q58" s="126" t="str">
        <f t="shared" si="24"/>
        <v/>
      </c>
      <c r="R58" s="127"/>
      <c r="S58" s="128"/>
      <c r="T58" s="272" cm="1">
        <f t="array" ref="T58">IF(OR(H58="",H58=0),
ROUND(_xlfn.XLOOKUP(1,(PRICING[SKU]=A58)*(PRICING[Set]=1),PRICING[Standard Use Rate (oz/M)]),2),ROUND(
_xlfn.XLOOKUP(
1,
(PRICING[SKU]=A58)*
(PRICING[Set]=IF(
_xlfn.XLOOKUP(A58,Rebate_Lookup[SKU CODE],Rebate_Lookup[MOQ_2])=0,
1,
IF(
AND(
_xlfn.XLOOKUP(A58,Rebate_Lookup[SKU CODE],Rebate_Lookup[MOQ_3])=0,
H58&gt;=_xlfn.XLOOKUP(A58,Rebate_Lookup[SKU CODE],Rebate_Lookup[MOQ_2])
),
2,
IF(
AND(
H58&gt;=_xlfn.XLOOKUP(A58,Rebate_Lookup[SKU CODE],Rebate_Lookup[MOQ_1]),
H58&lt;_xlfn.XLOOKUP(A58,Rebate_Lookup[SKU CODE],Rebate_Lookup[MOQ_2])
),
1,
IF(
AND(
H58&gt;=_xlfn.XLOOKUP(A58,Rebate_Lookup[SKU CODE],Rebate_Lookup[MOQ_2]),
OR(
_xlfn.XLOOKUP(A58,Rebate_Lookup[SKU CODE],Rebate_Lookup[MOQ_3])=0,
H58&lt;_xlfn.XLOOKUP(A58,Rebate_Lookup[SKU CODE],Rebate_Lookup[MOQ_3])
)
),
2,
IF(
OR(
AND(
_xlfn.XLOOKUP(A58,Rebate_Lookup[SKU CODE],Rebate_Lookup[MOQ_4])=0,
H58&gt;=_xlfn.XLOOKUP(A58,Rebate_Lookup[SKU CODE],Rebate_Lookup[MOQ_3])
),
AND(
_xlfn.XLOOKUP(A58,Rebate_Lookup[SKU CODE],Rebate_Lookup[MOQ_4])&gt;0,
H58&gt;=_xlfn.XLOOKUP(A58,Rebate_Lookup[SKU CODE],Rebate_Lookup[MOQ_3]),
H58&lt;_xlfn.XLOOKUP(A58,Rebate_Lookup[SKU CODE],Rebate_Lookup[MOQ_4])
)
),
3,
IF(
AND(
_xlfn.XLOOKUP(A58,Rebate_Lookup[SKU CODE],Rebate_Lookup[MOQ_4])&gt;0,
H58&gt;=_xlfn.XLOOKUP(A58,Rebate_Lookup[SKU CODE],Rebate_Lookup[MOQ_4])
),
4,
1
)
)
)
)
)
)),
PRICING[Standard Use Rate (oz/M)]
),
2
))</f>
        <v>1.9</v>
      </c>
      <c r="U58" s="129">
        <f t="shared" si="25"/>
        <v>82.76</v>
      </c>
      <c r="V58" s="129" t="str">
        <f>IF(AND(TRIM(U58)&lt;&gt;"",TRIM(H58)&lt;&gt;""),ROUND(H58*INDEX(PRICING[Package Ounces],MATCH(A58,PRICING[SKU],0))/U58,2),"")</f>
        <v/>
      </c>
      <c r="W58" s="247"/>
      <c r="X58" s="248">
        <f t="shared" si="18"/>
        <v>0</v>
      </c>
      <c r="Y58" s="90"/>
      <c r="AC58" s="90"/>
      <c r="AD58" s="90"/>
      <c r="AE58" s="90"/>
      <c r="AF58" s="90"/>
      <c r="AG58" s="90"/>
      <c r="AH58" s="90"/>
      <c r="AI58" s="90"/>
      <c r="AJ58" s="90"/>
      <c r="AK58" s="90"/>
      <c r="AL58" s="90"/>
      <c r="AM58" s="90"/>
      <c r="AN58" s="90"/>
      <c r="AO58" s="90"/>
      <c r="AP58" s="90"/>
      <c r="AQ58" s="90"/>
      <c r="AR58" s="90"/>
      <c r="AS58" s="90"/>
      <c r="AT58" s="90"/>
      <c r="AU58" s="90"/>
      <c r="AV58" s="90"/>
      <c r="AW58" s="90"/>
      <c r="AX58" s="90"/>
      <c r="AY58" s="90"/>
      <c r="AZ58" s="90"/>
      <c r="BA58" s="90"/>
      <c r="BB58" s="90"/>
      <c r="BC58" s="90"/>
      <c r="BD58" s="90"/>
      <c r="BE58" s="90"/>
      <c r="BF58" s="90"/>
    </row>
    <row r="59" spans="1:58" ht="18" customHeight="1" x14ac:dyDescent="0.2">
      <c r="A59" s="253">
        <v>11008447</v>
      </c>
      <c r="B59" s="259" t="b">
        <f t="shared" si="19"/>
        <v>0</v>
      </c>
      <c r="D59" s="268" t="str" cm="1">
        <f t="array" ref="D59">IFERROR(
    _xlfn.TEXTJOIN(
        "; ",
        TRUE,
        _xlfn._xlws.FILTER(
            IF(
                ISNUMBER(SEARCH("Terradex",E59)),
                TEXT(ROUND(PRICING[Rebate $]/AB59,2),"$#,##0.00")&amp;
                " off per gal with "&amp;
                SUBSTITUTE(PRICING[Min Qty]," gal","")&amp;
                " + Terradex gallons",
                TEXT(PRICING[Rebate $],"$#,##0.00")&amp;
                " off on "&amp;
                IF(
                    (PRICING[Min Qty]="")+(PRICING[Min Qty]=0),
                    "1 unit",
                    PRICING[Min Qty]&amp;" units"
                )
            ),
            (PRICING[SKU]=$A59)*
            (
                ISNUMBER(SEARCH("Terradex",E59))+
                (
                    (PRICING[Rebate $]&lt;&gt;"")*
                    (PRICING[Rebate $]&lt;&gt;0)
                )
            )
        )
    ),
    "n/a"
)</f>
        <v>$20.00 off on 1 unit</v>
      </c>
      <c r="E59" s="122" t="str">
        <f>_xlfn.XLOOKUP(A59, PRICING[SKU], PRICING[Product], "")</f>
        <v xml:space="preserve">QuickSilver® Herbicide </v>
      </c>
      <c r="F59" s="37" t="str">
        <f>_xlfn.XLOOKUP(A59, PRICING[SKU], PRICING[Size], "")</f>
        <v>8 oz</v>
      </c>
      <c r="G59" s="123" t="str">
        <f>IF(_xlfn.XLOOKUP(A59,PRICING[SKU],PRICING[Indication])="I","Insecticide",
 IF(_xlfn.XLOOKUP(A59,PRICING[SKU],PRICING[Indication])="H","Herbicide",
 IF(_xlfn.XLOOKUP(A59,PRICING[SKU],PRICING[Indication])="F","Fungicide",
 IF(_xlfn.XLOOKUP(A59,PRICING[SKU],PRICING[Indication])="PGR","PGR",""))))</f>
        <v>Herbicide</v>
      </c>
      <c r="H59" s="109"/>
      <c r="I59" s="110"/>
      <c r="J59" s="38">
        <f>INDEX(PRICING[NOW Price],MATCH(A59,PRICING[SKU],0))</f>
        <v>169.93</v>
      </c>
      <c r="K59" s="38" t="str">
        <f>IF(OR(H59="",O59=""),"",
IF(O59=1,INDEX(Rebate_Lookup[REB_MOQ_1],MATCH(A59,Rebate_Lookup[SKU CODE],0)),
IF(O59=2,INDEX(Rebate_Lookup[REB_MOQ_2],MATCH(A59,Rebate_Lookup[SKU CODE],0)),
IF(O59=3,INDEX(Rebate_Lookup[REB_MOQ_3],MATCH(A59,Rebate_Lookup[SKU CODE],0)),
IF(O59=4,INDEX(Rebate_Lookup[REB_MOQ_4],MATCH(A59,Rebate_Lookup[SKU CODE],0)),
"#err")))))</f>
        <v/>
      </c>
      <c r="L59" s="38" t="str">
        <f t="shared" si="20"/>
        <v/>
      </c>
      <c r="M59" s="124" t="str">
        <f t="shared" si="21"/>
        <v/>
      </c>
      <c r="N59" s="125" t="str">
        <f t="shared" si="22"/>
        <v/>
      </c>
      <c r="O59" s="270" t="str">
        <f>IF(H59="","",INDEX(Rebate_Lookup[Qualified Rebate Tier],MATCH(A59,Rebate_Lookup[SKU CODE],0)))</f>
        <v/>
      </c>
      <c r="P59" s="38" t="str">
        <f t="shared" si="23"/>
        <v/>
      </c>
      <c r="Q59" s="126" t="str">
        <f t="shared" si="24"/>
        <v/>
      </c>
      <c r="R59" s="127"/>
      <c r="S59" s="128"/>
      <c r="T59" s="272" cm="1">
        <f t="array" ref="T59">IF(OR(H59="",H59=0),
ROUND(_xlfn.XLOOKUP(1,(PRICING[SKU]=A59)*(PRICING[Set]=1),PRICING[Standard Use Rate (oz/M)]),2),ROUND(
_xlfn.XLOOKUP(
1,
(PRICING[SKU]=A59)*
(PRICING[Set]=IF(
_xlfn.XLOOKUP(A59,Rebate_Lookup[SKU CODE],Rebate_Lookup[MOQ_2])=0,
1,
IF(
AND(
_xlfn.XLOOKUP(A59,Rebate_Lookup[SKU CODE],Rebate_Lookup[MOQ_3])=0,
H59&gt;=_xlfn.XLOOKUP(A59,Rebate_Lookup[SKU CODE],Rebate_Lookup[MOQ_2])
),
2,
IF(
AND(
H59&gt;=_xlfn.XLOOKUP(A59,Rebate_Lookup[SKU CODE],Rebate_Lookup[MOQ_1]),
H59&lt;_xlfn.XLOOKUP(A59,Rebate_Lookup[SKU CODE],Rebate_Lookup[MOQ_2])
),
1,
IF(
AND(
H59&gt;=_xlfn.XLOOKUP(A59,Rebate_Lookup[SKU CODE],Rebate_Lookup[MOQ_2]),
OR(
_xlfn.XLOOKUP(A59,Rebate_Lookup[SKU CODE],Rebate_Lookup[MOQ_3])=0,
H59&lt;_xlfn.XLOOKUP(A59,Rebate_Lookup[SKU CODE],Rebate_Lookup[MOQ_3])
)
),
2,
IF(
OR(
AND(
_xlfn.XLOOKUP(A59,Rebate_Lookup[SKU CODE],Rebate_Lookup[MOQ_4])=0,
H59&gt;=_xlfn.XLOOKUP(A59,Rebate_Lookup[SKU CODE],Rebate_Lookup[MOQ_3])
),
AND(
_xlfn.XLOOKUP(A59,Rebate_Lookup[SKU CODE],Rebate_Lookup[MOQ_4])&gt;0,
H59&gt;=_xlfn.XLOOKUP(A59,Rebate_Lookup[SKU CODE],Rebate_Lookup[MOQ_3]),
H59&lt;_xlfn.XLOOKUP(A59,Rebate_Lookup[SKU CODE],Rebate_Lookup[MOQ_4])
)
),
3,
IF(
AND(
_xlfn.XLOOKUP(A59,Rebate_Lookup[SKU CODE],Rebate_Lookup[MOQ_4])&gt;0,
H59&gt;=_xlfn.XLOOKUP(A59,Rebate_Lookup[SKU CODE],Rebate_Lookup[MOQ_4])
),
4,
1
)
)
)
)
)
)),
PRICING[Standard Use Rate (oz/M)]
),
2
))</f>
        <v>0.03</v>
      </c>
      <c r="U59" s="129">
        <f t="shared" si="25"/>
        <v>1.31</v>
      </c>
      <c r="V59" s="129" t="str">
        <f>IF(AND(TRIM(U59)&lt;&gt;"",TRIM(H59)&lt;&gt;""),ROUND(H59*INDEX(PRICING[Package Ounces],MATCH(A59,PRICING[SKU],0))/U59,2),"")</f>
        <v/>
      </c>
      <c r="W59" s="247">
        <f t="shared" ref="W59:W68" si="26">IF(H59&lt;&gt;0,ROUND(P59/V59,2),0)</f>
        <v>0</v>
      </c>
      <c r="X59" s="248">
        <f t="shared" si="18"/>
        <v>0</v>
      </c>
      <c r="Y59" s="90"/>
      <c r="AC59" s="90"/>
      <c r="AD59" s="90"/>
      <c r="AE59" s="90"/>
      <c r="AF59" s="90"/>
      <c r="AG59" s="90"/>
      <c r="AH59" s="90"/>
      <c r="AI59" s="90"/>
      <c r="AJ59" s="90"/>
      <c r="AK59" s="90"/>
      <c r="AL59" s="90"/>
      <c r="AM59" s="90"/>
      <c r="AN59" s="90"/>
      <c r="AO59" s="90"/>
      <c r="AP59" s="90"/>
      <c r="AQ59" s="90"/>
      <c r="AR59" s="90"/>
      <c r="AS59" s="90"/>
      <c r="AT59" s="90"/>
      <c r="AU59" s="90"/>
      <c r="AV59" s="90"/>
      <c r="AW59" s="90"/>
      <c r="AX59" s="90"/>
      <c r="AY59" s="90"/>
      <c r="AZ59" s="90"/>
      <c r="BA59" s="90"/>
      <c r="BB59" s="90"/>
      <c r="BC59" s="90"/>
      <c r="BD59" s="90"/>
      <c r="BE59" s="90"/>
      <c r="BF59" s="90"/>
    </row>
    <row r="60" spans="1:58" ht="18" customHeight="1" x14ac:dyDescent="0.2">
      <c r="A60" s="255">
        <v>79850980</v>
      </c>
      <c r="B60" s="259" t="b">
        <f t="shared" si="19"/>
        <v>0</v>
      </c>
      <c r="D60" s="268" t="str" cm="1">
        <f t="array" ref="D60">IFERROR(
    _xlfn.TEXTJOIN(
        "; ",
        TRUE,
        _xlfn._xlws.FILTER(
            IF(
                ISNUMBER(SEARCH("Terradex",E60)),
                TEXT(ROUND(PRICING[Rebate $]/AB60,2),"$#,##0.00")&amp;
                " off per gal with "&amp;
                SUBSTITUTE(PRICING[Min Qty]," gal","")&amp;
                " + Terradex gallons",
                TEXT(PRICING[Rebate $],"$#,##0.00")&amp;
                " off on "&amp;
                IF(
                    (PRICING[Min Qty]="")+(PRICING[Min Qty]=0),
                    "1 unit",
                    PRICING[Min Qty]&amp;" units"
                )
            ),
            (PRICING[SKU]=$A60)*
            (
                ISNUMBER(SEARCH("Terradex",E60))+
                (
                    (PRICING[Rebate $]&lt;&gt;"")*
                    (PRICING[Rebate $]&lt;&gt;0)
                )
            )
        )
    ),
    "n/a"
)</f>
        <v>$25.00 off on 1 unit</v>
      </c>
      <c r="E60" s="122" t="str">
        <f>_xlfn.XLOOKUP(A60, PRICING[SKU], PRICING[Product], "")</f>
        <v>Revolver®</v>
      </c>
      <c r="F60" s="37" t="str">
        <f>_xlfn.XLOOKUP(A60, PRICING[SKU], PRICING[Size], "")</f>
        <v>32 fl oz</v>
      </c>
      <c r="G60" s="123" t="str">
        <f>IF(_xlfn.XLOOKUP(A60,PRICING[SKU],PRICING[Indication])="I","Insecticide",
 IF(_xlfn.XLOOKUP(A60,PRICING[SKU],PRICING[Indication])="H","Herbicide",
 IF(_xlfn.XLOOKUP(A60,PRICING[SKU],PRICING[Indication])="F","Fungicide",
 IF(_xlfn.XLOOKUP(A60,PRICING[SKU],PRICING[Indication])="PGR","PGR",""))))</f>
        <v>Herbicide</v>
      </c>
      <c r="H60" s="109"/>
      <c r="I60" s="110"/>
      <c r="J60" s="38">
        <f>INDEX(PRICING[NOW Price],MATCH(A60,PRICING[SKU],0))</f>
        <v>309.17</v>
      </c>
      <c r="K60" s="38" t="str">
        <f>IF(OR(H60="",O60=""),"",
IF(O60=1,INDEX(Rebate_Lookup[REB_MOQ_1],MATCH(A60,Rebate_Lookup[SKU CODE],0)),
IF(O60=2,INDEX(Rebate_Lookup[REB_MOQ_2],MATCH(A60,Rebate_Lookup[SKU CODE],0)),
IF(O60=3,INDEX(Rebate_Lookup[REB_MOQ_3],MATCH(A60,Rebate_Lookup[SKU CODE],0)),
IF(O60=4,INDEX(Rebate_Lookup[REB_MOQ_4],MATCH(A60,Rebate_Lookup[SKU CODE],0)),
"#err")))))</f>
        <v/>
      </c>
      <c r="L60" s="38" t="str">
        <f t="shared" si="20"/>
        <v/>
      </c>
      <c r="M60" s="124" t="str">
        <f t="shared" si="21"/>
        <v/>
      </c>
      <c r="N60" s="125" t="str">
        <f t="shared" si="22"/>
        <v/>
      </c>
      <c r="O60" s="270" t="str">
        <f>IF(H60="","",INDEX(Rebate_Lookup[Qualified Rebate Tier],MATCH(A60,Rebate_Lookup[SKU CODE],0)))</f>
        <v/>
      </c>
      <c r="P60" s="38" t="str">
        <f t="shared" si="23"/>
        <v/>
      </c>
      <c r="Q60" s="126" t="str">
        <f t="shared" si="24"/>
        <v/>
      </c>
      <c r="R60" s="127"/>
      <c r="S60" s="128"/>
      <c r="T60" s="272" cm="1">
        <f t="array" ref="T60">IF(OR(H60="",H60=0),
ROUND(_xlfn.XLOOKUP(1,(PRICING[SKU]=A60)*(PRICING[Set]=1),PRICING[Standard Use Rate (oz/M)]),2),ROUND(
_xlfn.XLOOKUP(
1,
(PRICING[SKU]=A60)*
(PRICING[Set]=IF(
_xlfn.XLOOKUP(A60,Rebate_Lookup[SKU CODE],Rebate_Lookup[MOQ_2])=0,
1,
IF(
AND(
_xlfn.XLOOKUP(A60,Rebate_Lookup[SKU CODE],Rebate_Lookup[MOQ_3])=0,
H60&gt;=_xlfn.XLOOKUP(A60,Rebate_Lookup[SKU CODE],Rebate_Lookup[MOQ_2])
),
2,
IF(
AND(
H60&gt;=_xlfn.XLOOKUP(A60,Rebate_Lookup[SKU CODE],Rebate_Lookup[MOQ_1]),
H60&lt;_xlfn.XLOOKUP(A60,Rebate_Lookup[SKU CODE],Rebate_Lookup[MOQ_2])
),
1,
IF(
AND(
H60&gt;=_xlfn.XLOOKUP(A60,Rebate_Lookup[SKU CODE],Rebate_Lookup[MOQ_2]),
OR(
_xlfn.XLOOKUP(A60,Rebate_Lookup[SKU CODE],Rebate_Lookup[MOQ_3])=0,
H60&lt;_xlfn.XLOOKUP(A60,Rebate_Lookup[SKU CODE],Rebate_Lookup[MOQ_3])
)
),
2,
IF(
OR(
AND(
_xlfn.XLOOKUP(A60,Rebate_Lookup[SKU CODE],Rebate_Lookup[MOQ_4])=0,
H60&gt;=_xlfn.XLOOKUP(A60,Rebate_Lookup[SKU CODE],Rebate_Lookup[MOQ_3])
),
AND(
_xlfn.XLOOKUP(A60,Rebate_Lookup[SKU CODE],Rebate_Lookup[MOQ_4])&gt;0,
H60&gt;=_xlfn.XLOOKUP(A60,Rebate_Lookup[SKU CODE],Rebate_Lookup[MOQ_3]),
H60&lt;_xlfn.XLOOKUP(A60,Rebate_Lookup[SKU CODE],Rebate_Lookup[MOQ_4])
)
),
3,
IF(
AND(
_xlfn.XLOOKUP(A60,Rebate_Lookup[SKU CODE],Rebate_Lookup[MOQ_4])&gt;0,
H60&gt;=_xlfn.XLOOKUP(A60,Rebate_Lookup[SKU CODE],Rebate_Lookup[MOQ_4])
),
4,
1
)
)
)
)
)
)),
PRICING[Standard Use Rate (oz/M)]
),
2
))</f>
        <v>0.4</v>
      </c>
      <c r="U60" s="129">
        <f t="shared" si="25"/>
        <v>17.420000000000002</v>
      </c>
      <c r="V60" s="129" t="str">
        <f>IF(AND(TRIM(U60)&lt;&gt;"",TRIM(H60)&lt;&gt;""),ROUND(H60*INDEX(PRICING[Package Ounces],MATCH(A60,PRICING[SKU],0))/U60,2),"")</f>
        <v/>
      </c>
      <c r="W60" s="247">
        <f t="shared" si="26"/>
        <v>0</v>
      </c>
      <c r="X60" s="248">
        <f t="shared" si="18"/>
        <v>0</v>
      </c>
      <c r="Y60" s="90"/>
      <c r="AC60" s="90"/>
      <c r="AD60" s="90"/>
      <c r="AE60" s="90"/>
      <c r="AF60" s="90"/>
      <c r="AG60" s="90"/>
      <c r="AH60" s="90"/>
      <c r="AI60" s="90"/>
      <c r="AJ60" s="90"/>
      <c r="AK60" s="90"/>
      <c r="AL60" s="90"/>
      <c r="AM60" s="90"/>
      <c r="AN60" s="90"/>
      <c r="AO60" s="90"/>
      <c r="AP60" s="90"/>
      <c r="AQ60" s="90"/>
      <c r="AR60" s="90"/>
      <c r="AS60" s="90"/>
      <c r="AT60" s="90"/>
      <c r="AU60" s="90"/>
      <c r="AV60" s="90"/>
      <c r="AW60" s="90"/>
      <c r="AX60" s="90"/>
      <c r="AY60" s="90"/>
      <c r="AZ60" s="90"/>
      <c r="BA60" s="90"/>
      <c r="BB60" s="90"/>
      <c r="BC60" s="90"/>
      <c r="BD60" s="90"/>
      <c r="BE60" s="90"/>
      <c r="BF60" s="90"/>
    </row>
    <row r="61" spans="1:58" ht="18" customHeight="1" x14ac:dyDescent="0.2">
      <c r="A61" s="253">
        <v>11008482</v>
      </c>
      <c r="B61" s="259" t="b">
        <f t="shared" si="19"/>
        <v>0</v>
      </c>
      <c r="D61" s="268" t="str" cm="1">
        <f t="array" ref="D61">IFERROR(
    _xlfn.TEXTJOIN(
        "; ",
        TRUE,
        _xlfn._xlws.FILTER(
            IF(
                ISNUMBER(SEARCH("Terradex",E61)),
                TEXT(ROUND(PRICING[Rebate $]/AB61,2),"$#,##0.00")&amp;
                " off per gal with "&amp;
                SUBSTITUTE(PRICING[Min Qty]," gal","")&amp;
                " + Terradex gallons",
                TEXT(PRICING[Rebate $],"$#,##0.00")&amp;
                " off on "&amp;
                IF(
                    (PRICING[Min Qty]="")+(PRICING[Min Qty]=0),
                    "1 unit",
                    PRICING[Min Qty]&amp;" units"
                )
            ),
            (PRICING[SKU]=$A61)*
            (
                ISNUMBER(SEARCH("Terradex",E61))+
                (
                    (PRICING[Rebate $]&lt;&gt;"")*
                    (PRICING[Rebate $]&lt;&gt;0)
                )
            )
        )
    ),
    "n/a"
)</f>
        <v>$8.00 off on 1 unit</v>
      </c>
      <c r="E61" s="122" t="str">
        <f>_xlfn.XLOOKUP(A61, PRICING[SKU], PRICING[Product], "")</f>
        <v xml:space="preserve">Solitare® Herbicide </v>
      </c>
      <c r="F61" s="37" t="str">
        <f>_xlfn.XLOOKUP(A61, PRICING[SKU], PRICING[Size], "")</f>
        <v xml:space="preserve">1 lb </v>
      </c>
      <c r="G61" s="123" t="str">
        <f>IF(_xlfn.XLOOKUP(A61,PRICING[SKU],PRICING[Indication])="I","Insecticide",
 IF(_xlfn.XLOOKUP(A61,PRICING[SKU],PRICING[Indication])="H","Herbicide",
 IF(_xlfn.XLOOKUP(A61,PRICING[SKU],PRICING[Indication])="F","Fungicide",
 IF(_xlfn.XLOOKUP(A61,PRICING[SKU],PRICING[Indication])="PGR","PGR",""))))</f>
        <v>Herbicide</v>
      </c>
      <c r="H61" s="109"/>
      <c r="I61" s="110"/>
      <c r="J61" s="38">
        <f>INDEX(PRICING[NOW Price],MATCH(A61,PRICING[SKU],0))</f>
        <v>164.73</v>
      </c>
      <c r="K61" s="38" t="str">
        <f>IF(OR(H61="",O61=""),"",
IF(O61=1,INDEX(Rebate_Lookup[REB_MOQ_1],MATCH(A61,Rebate_Lookup[SKU CODE],0)),
IF(O61=2,INDEX(Rebate_Lookup[REB_MOQ_2],MATCH(A61,Rebate_Lookup[SKU CODE],0)),
IF(O61=3,INDEX(Rebate_Lookup[REB_MOQ_3],MATCH(A61,Rebate_Lookup[SKU CODE],0)),
IF(O61=4,INDEX(Rebate_Lookup[REB_MOQ_4],MATCH(A61,Rebate_Lookup[SKU CODE],0)),
"#err")))))</f>
        <v/>
      </c>
      <c r="L61" s="38" t="str">
        <f t="shared" si="20"/>
        <v/>
      </c>
      <c r="M61" s="124" t="str">
        <f t="shared" si="21"/>
        <v/>
      </c>
      <c r="N61" s="125" t="str">
        <f t="shared" si="22"/>
        <v/>
      </c>
      <c r="O61" s="270" t="str">
        <f>IF(H61="","",INDEX(Rebate_Lookup[Qualified Rebate Tier],MATCH(A61,Rebate_Lookup[SKU CODE],0)))</f>
        <v/>
      </c>
      <c r="P61" s="38" t="str">
        <f t="shared" si="23"/>
        <v/>
      </c>
      <c r="Q61" s="126" t="str">
        <f t="shared" si="24"/>
        <v/>
      </c>
      <c r="R61" s="127"/>
      <c r="S61" s="128"/>
      <c r="T61" s="272" cm="1">
        <f t="array" ref="T61">IF(OR(H61="",H61=0),
ROUND(_xlfn.XLOOKUP(1,(PRICING[SKU]=A61)*(PRICING[Set]=1),PRICING[Standard Use Rate (oz/M)]),2),ROUND(
_xlfn.XLOOKUP(
1,
(PRICING[SKU]=A61)*
(PRICING[Set]=IF(
_xlfn.XLOOKUP(A61,Rebate_Lookup[SKU CODE],Rebate_Lookup[MOQ_2])=0,
1,
IF(
AND(
_xlfn.XLOOKUP(A61,Rebate_Lookup[SKU CODE],Rebate_Lookup[MOQ_3])=0,
H61&gt;=_xlfn.XLOOKUP(A61,Rebate_Lookup[SKU CODE],Rebate_Lookup[MOQ_2])
),
2,
IF(
AND(
H61&gt;=_xlfn.XLOOKUP(A61,Rebate_Lookup[SKU CODE],Rebate_Lookup[MOQ_1]),
H61&lt;_xlfn.XLOOKUP(A61,Rebate_Lookup[SKU CODE],Rebate_Lookup[MOQ_2])
),
1,
IF(
AND(
H61&gt;=_xlfn.XLOOKUP(A61,Rebate_Lookup[SKU CODE],Rebate_Lookup[MOQ_2]),
OR(
_xlfn.XLOOKUP(A61,Rebate_Lookup[SKU CODE],Rebate_Lookup[MOQ_3])=0,
H61&lt;_xlfn.XLOOKUP(A61,Rebate_Lookup[SKU CODE],Rebate_Lookup[MOQ_3])
)
),
2,
IF(
OR(
AND(
_xlfn.XLOOKUP(A61,Rebate_Lookup[SKU CODE],Rebate_Lookup[MOQ_4])=0,
H61&gt;=_xlfn.XLOOKUP(A61,Rebate_Lookup[SKU CODE],Rebate_Lookup[MOQ_3])
),
AND(
_xlfn.XLOOKUP(A61,Rebate_Lookup[SKU CODE],Rebate_Lookup[MOQ_4])&gt;0,
H61&gt;=_xlfn.XLOOKUP(A61,Rebate_Lookup[SKU CODE],Rebate_Lookup[MOQ_3]),
H61&lt;_xlfn.XLOOKUP(A61,Rebate_Lookup[SKU CODE],Rebate_Lookup[MOQ_4])
)
),
3,
IF(
AND(
_xlfn.XLOOKUP(A61,Rebate_Lookup[SKU CODE],Rebate_Lookup[MOQ_4])&gt;0,
H61&gt;=_xlfn.XLOOKUP(A61,Rebate_Lookup[SKU CODE],Rebate_Lookup[MOQ_4])
),
4,
1
)
)
)
)
)
)),
PRICING[Standard Use Rate (oz/M)]
),
2
))</f>
        <v>2</v>
      </c>
      <c r="U61" s="129">
        <f t="shared" si="25"/>
        <v>87.12</v>
      </c>
      <c r="V61" s="129" t="str">
        <f>IF(AND(TRIM(U61)&lt;&gt;"",TRIM(H61)&lt;&gt;""),ROUND(H61*INDEX(PRICING[Package Ounces],MATCH(A61,PRICING[SKU],0))/U61,2),"")</f>
        <v/>
      </c>
      <c r="W61" s="247">
        <f t="shared" si="26"/>
        <v>0</v>
      </c>
      <c r="X61" s="248">
        <f t="shared" si="18"/>
        <v>0</v>
      </c>
      <c r="Y61" s="90"/>
      <c r="AC61" s="90"/>
      <c r="AD61" s="90"/>
      <c r="AE61" s="90"/>
      <c r="AF61" s="90"/>
      <c r="AG61" s="90"/>
      <c r="AH61" s="90"/>
      <c r="AI61" s="90"/>
      <c r="AJ61" s="90"/>
      <c r="AK61" s="90"/>
      <c r="AL61" s="90"/>
      <c r="AM61" s="90"/>
      <c r="AN61" s="90"/>
      <c r="AO61" s="90"/>
      <c r="AP61" s="90"/>
      <c r="AQ61" s="90"/>
      <c r="AR61" s="90"/>
      <c r="AS61" s="90"/>
      <c r="AT61" s="90"/>
      <c r="AU61" s="90"/>
      <c r="AV61" s="90"/>
      <c r="AW61" s="90"/>
      <c r="AX61" s="90"/>
      <c r="AY61" s="90"/>
      <c r="AZ61" s="90"/>
      <c r="BA61" s="90"/>
      <c r="BB61" s="90"/>
      <c r="BC61" s="90"/>
      <c r="BD61" s="90"/>
      <c r="BE61" s="90"/>
      <c r="BF61" s="90"/>
    </row>
    <row r="62" spans="1:58" ht="18" customHeight="1" x14ac:dyDescent="0.2">
      <c r="A62" s="255">
        <v>11008369</v>
      </c>
      <c r="B62" s="259" t="b">
        <f t="shared" si="19"/>
        <v>0</v>
      </c>
      <c r="D62" s="268" t="str" cm="1">
        <f t="array" ref="D62">IFERROR(
    _xlfn.TEXTJOIN(
        "; ",
        TRUE,
        _xlfn._xlws.FILTER(
            IF(
                ISNUMBER(SEARCH("Terradex",E62)),
                TEXT(ROUND(PRICING[Rebate $]/AB62,2),"$#,##0.00")&amp;
                " off per gal with "&amp;
                SUBSTITUTE(PRICING[Min Qty]," gal","")&amp;
                " + Terradex gallons",
                TEXT(PRICING[Rebate $],"$#,##0.00")&amp;
                " off on "&amp;
                IF(
                    (PRICING[Min Qty]="")+(PRICING[Min Qty]=0),
                    "1 unit",
                    PRICING[Min Qty]&amp;" units"
                )
            ),
            (PRICING[SKU]=$A62)*
            (
                ISNUMBER(SEARCH("Terradex",E62))+
                (
                    (PRICING[Rebate $]&lt;&gt;"")*
                    (PRICING[Rebate $]&lt;&gt;0)
                )
            )
        )
    ),
    "n/a"
)</f>
        <v>$8.00 off on 1 unit</v>
      </c>
      <c r="E62" s="122" t="str">
        <f>_xlfn.XLOOKUP(A62, PRICING[SKU], PRICING[Product], "")</f>
        <v>Solitare® WSL Herbicide</v>
      </c>
      <c r="F62" s="37" t="str">
        <f>_xlfn.XLOOKUP(A62, PRICING[SKU], PRICING[Size], "")</f>
        <v xml:space="preserve">0.75 gal </v>
      </c>
      <c r="G62" s="123" t="str">
        <f>IF(_xlfn.XLOOKUP(A62,PRICING[SKU],PRICING[Indication])="I","Insecticide",
 IF(_xlfn.XLOOKUP(A62,PRICING[SKU],PRICING[Indication])="H","Herbicide",
 IF(_xlfn.XLOOKUP(A62,PRICING[SKU],PRICING[Indication])="F","Fungicide",
 IF(_xlfn.XLOOKUP(A62,PRICING[SKU],PRICING[Indication])="PGR","PGR",""))))</f>
        <v>Herbicide</v>
      </c>
      <c r="H62" s="109"/>
      <c r="I62" s="110"/>
      <c r="J62" s="38">
        <f>INDEX(PRICING[NOW Price],MATCH(A62,PRICING[SKU],0))</f>
        <v>97.96</v>
      </c>
      <c r="K62" s="38" t="str">
        <f>IF(OR(H62="",O62=""),"",
IF(O62=1,INDEX(Rebate_Lookup[REB_MOQ_1],MATCH(A62,Rebate_Lookup[SKU CODE],0)),
IF(O62=2,INDEX(Rebate_Lookup[REB_MOQ_2],MATCH(A62,Rebate_Lookup[SKU CODE],0)),
IF(O62=3,INDEX(Rebate_Lookup[REB_MOQ_3],MATCH(A62,Rebate_Lookup[SKU CODE],0)),
IF(O62=4,INDEX(Rebate_Lookup[REB_MOQ_4],MATCH(A62,Rebate_Lookup[SKU CODE],0)),
"#err")))))</f>
        <v/>
      </c>
      <c r="L62" s="38" t="str">
        <f t="shared" si="20"/>
        <v/>
      </c>
      <c r="M62" s="124" t="str">
        <f t="shared" si="21"/>
        <v/>
      </c>
      <c r="N62" s="125" t="str">
        <f t="shared" si="22"/>
        <v/>
      </c>
      <c r="O62" s="270" t="str">
        <f>IF(H62="","",INDEX(Rebate_Lookup[Qualified Rebate Tier],MATCH(A62,Rebate_Lookup[SKU CODE],0)))</f>
        <v/>
      </c>
      <c r="P62" s="38" t="str">
        <f t="shared" si="23"/>
        <v/>
      </c>
      <c r="Q62" s="126" t="str">
        <f t="shared" si="24"/>
        <v/>
      </c>
      <c r="R62" s="127"/>
      <c r="S62" s="128"/>
      <c r="T62" s="272" cm="1">
        <f t="array" ref="T62">IF(OR(H62="",H62=0),
ROUND(_xlfn.XLOOKUP(1,(PRICING[SKU]=A62)*(PRICING[Set]=1),PRICING[Standard Use Rate (oz/M)]),2),ROUND(
_xlfn.XLOOKUP(
1,
(PRICING[SKU]=A62)*
(PRICING[Set]=IF(
_xlfn.XLOOKUP(A62,Rebate_Lookup[SKU CODE],Rebate_Lookup[MOQ_2])=0,
1,
IF(
AND(
_xlfn.XLOOKUP(A62,Rebate_Lookup[SKU CODE],Rebate_Lookup[MOQ_3])=0,
H62&gt;=_xlfn.XLOOKUP(A62,Rebate_Lookup[SKU CODE],Rebate_Lookup[MOQ_2])
),
2,
IF(
AND(
H62&gt;=_xlfn.XLOOKUP(A62,Rebate_Lookup[SKU CODE],Rebate_Lookup[MOQ_1]),
H62&lt;_xlfn.XLOOKUP(A62,Rebate_Lookup[SKU CODE],Rebate_Lookup[MOQ_2])
),
1,
IF(
AND(
H62&gt;=_xlfn.XLOOKUP(A62,Rebate_Lookup[SKU CODE],Rebate_Lookup[MOQ_2]),
OR(
_xlfn.XLOOKUP(A62,Rebate_Lookup[SKU CODE],Rebate_Lookup[MOQ_3])=0,
H62&lt;_xlfn.XLOOKUP(A62,Rebate_Lookup[SKU CODE],Rebate_Lookup[MOQ_3])
)
),
2,
IF(
OR(
AND(
_xlfn.XLOOKUP(A62,Rebate_Lookup[SKU CODE],Rebate_Lookup[MOQ_4])=0,
H62&gt;=_xlfn.XLOOKUP(A62,Rebate_Lookup[SKU CODE],Rebate_Lookup[MOQ_3])
),
AND(
_xlfn.XLOOKUP(A62,Rebate_Lookup[SKU CODE],Rebate_Lookup[MOQ_4])&gt;0,
H62&gt;=_xlfn.XLOOKUP(A62,Rebate_Lookup[SKU CODE],Rebate_Lookup[MOQ_3]),
H62&lt;_xlfn.XLOOKUP(A62,Rebate_Lookup[SKU CODE],Rebate_Lookup[MOQ_4])
)
),
3,
IF(
AND(
_xlfn.XLOOKUP(A62,Rebate_Lookup[SKU CODE],Rebate_Lookup[MOQ_4])&gt;0,
H62&gt;=_xlfn.XLOOKUP(A62,Rebate_Lookup[SKU CODE],Rebate_Lookup[MOQ_4])
),
4,
1
)
)
)
)
)
)),
PRICING[Standard Use Rate (oz/M)]
),
2
))</f>
        <v>3.97</v>
      </c>
      <c r="U62" s="129">
        <f t="shared" si="25"/>
        <v>172.93</v>
      </c>
      <c r="V62" s="129" t="str">
        <f>IF(AND(TRIM(U62)&lt;&gt;"",TRIM(H62)&lt;&gt;""),ROUND(H62*INDEX(PRICING[Package Ounces],MATCH(A62,PRICING[SKU],0))/U62,2),"")</f>
        <v/>
      </c>
      <c r="W62" s="247">
        <f t="shared" si="26"/>
        <v>0</v>
      </c>
      <c r="X62" s="248">
        <f t="shared" si="18"/>
        <v>0</v>
      </c>
      <c r="Y62" s="90"/>
      <c r="AC62" s="90"/>
      <c r="AD62" s="90"/>
      <c r="AE62" s="90"/>
      <c r="AF62" s="90"/>
      <c r="AG62" s="90"/>
      <c r="AH62" s="90"/>
      <c r="AI62" s="90"/>
      <c r="AJ62" s="90"/>
      <c r="AK62" s="90"/>
      <c r="AL62" s="90"/>
      <c r="AM62" s="90"/>
      <c r="AN62" s="90"/>
      <c r="AO62" s="90"/>
      <c r="AP62" s="90"/>
      <c r="AQ62" s="90"/>
      <c r="AR62" s="90"/>
      <c r="AS62" s="90"/>
      <c r="AT62" s="90"/>
      <c r="AU62" s="90"/>
      <c r="AV62" s="90"/>
      <c r="AW62" s="90"/>
      <c r="AX62" s="90"/>
      <c r="AY62" s="90"/>
      <c r="AZ62" s="90"/>
      <c r="BA62" s="90"/>
      <c r="BB62" s="90"/>
      <c r="BC62" s="90"/>
      <c r="BD62" s="90"/>
      <c r="BE62" s="90"/>
      <c r="BF62" s="90"/>
    </row>
    <row r="63" spans="1:58" ht="18" customHeight="1" x14ac:dyDescent="0.2">
      <c r="A63" s="253" t="s">
        <v>75</v>
      </c>
      <c r="B63" s="259" t="b">
        <f t="shared" si="19"/>
        <v>0</v>
      </c>
      <c r="D63" s="268" t="str" cm="1">
        <f t="array" ref="D63">IFERROR(
    _xlfn.TEXTJOIN(
        "; ",
        TRUE,
        _xlfn._xlws.FILTER(
            IF(
                ISNUMBER(SEARCH("Terradex",E63)),
                TEXT(ROUND(PRICING[Rebate $]/AB63,2),"$#,##0.00")&amp;
                " off per gal with "&amp;
                SUBSTITUTE(PRICING[Min Qty]," gal","")&amp;
                " + Terradex gallons",
                TEXT(PRICING[Rebate $],"$#,##0.00")&amp;
                " off on "&amp;
                IF(
                    (PRICING[Min Qty]="")+(PRICING[Min Qty]=0),
                    "1 unit",
                    PRICING[Min Qty]&amp;" units"
                )
            ),
            (PRICING[SKU]=$A63)*
            (
                ISNUMBER(SEARCH("Terradex",E63))+
                (
                    (PRICING[Rebate $]&lt;&gt;"")*
                    (PRICING[Rebate $]&lt;&gt;0)
                )
            )
        )
    ),
    "n/a"
)</f>
        <v>$12.40 off per gal with 150 + Terradex gallons</v>
      </c>
      <c r="E63" s="122" t="str">
        <f>_xlfn.XLOOKUP(A63, PRICING[SKU], PRICING[Product], "")</f>
        <v>Terradex®  Power Premix</v>
      </c>
      <c r="F63" s="37" t="str">
        <f>_xlfn.XLOOKUP(A63, PRICING[SKU], PRICING[Size], "")</f>
        <v>2.5 gal</v>
      </c>
      <c r="G63" s="123" t="str">
        <f>IF(_xlfn.XLOOKUP(A63,PRICING[SKU],PRICING[Indication])="I","Insecticide",
 IF(_xlfn.XLOOKUP(A63,PRICING[SKU],PRICING[Indication])="H","Herbicide",
 IF(_xlfn.XLOOKUP(A63,PRICING[SKU],PRICING[Indication])="F","Fungicide",
 IF(_xlfn.XLOOKUP(A63,PRICING[SKU],PRICING[Indication])="PGR","PGR",""))))</f>
        <v>Herbicide</v>
      </c>
      <c r="H63" s="109"/>
      <c r="I63" s="110"/>
      <c r="J63" s="38">
        <f>INDEX(PRICING[NOW Price],MATCH(A63,PRICING[SKU],0))</f>
        <v>192.37</v>
      </c>
      <c r="K63" s="38" t="str">
        <f>IF(OR(H63="",O63=""),"",
IF(O63=1,INDEX(Rebate_Lookup[REB_MOQ_1],MATCH(A63,Rebate_Lookup[SKU CODE],0)),
IF(O63=2,INDEX(Rebate_Lookup[REB_MOQ_2],MATCH(A63,Rebate_Lookup[SKU CODE],0)),
IF(O63=3,INDEX(Rebate_Lookup[REB_MOQ_3],MATCH(A63,Rebate_Lookup[SKU CODE],0)),
IF(O63=4,INDEX(Rebate_Lookup[REB_MOQ_4],MATCH(A63,Rebate_Lookup[SKU CODE],0)),
"#err")))))</f>
        <v/>
      </c>
      <c r="L63" s="38" t="str">
        <f t="shared" si="20"/>
        <v/>
      </c>
      <c r="M63" s="124" t="str">
        <f t="shared" si="21"/>
        <v/>
      </c>
      <c r="N63" s="125" t="str">
        <f t="shared" si="22"/>
        <v/>
      </c>
      <c r="O63" s="270" t="str">
        <f t="shared" ref="O63:O67" si="27">IF(OR(H63="",$AD$63=FALSE),"",1)</f>
        <v/>
      </c>
      <c r="P63" s="38" t="str">
        <f t="shared" si="23"/>
        <v/>
      </c>
      <c r="Q63" s="126" t="str">
        <f t="shared" si="24"/>
        <v/>
      </c>
      <c r="R63" s="127"/>
      <c r="S63" s="128"/>
      <c r="T63" s="272" cm="1">
        <f t="array" ref="T63">IF(OR(H63="",H63=0),
ROUND(_xlfn.XLOOKUP(1,(PRICING[SKU]=A63)*(PRICING[Set]=1),PRICING[Standard Use Rate (oz/M)]),2),ROUND(
_xlfn.XLOOKUP(
1,
(PRICING[SKU]=A63)*
(PRICING[Set]=IF(
_xlfn.XLOOKUP(A63,Rebate_Lookup[SKU CODE],Rebate_Lookup[MOQ_2])=0,
1,
IF(
AND(
_xlfn.XLOOKUP(A63,Rebate_Lookup[SKU CODE],Rebate_Lookup[MOQ_3])=0,
H63&gt;=_xlfn.XLOOKUP(A63,Rebate_Lookup[SKU CODE],Rebate_Lookup[MOQ_2])
),
2,
IF(
AND(
H63&gt;=_xlfn.XLOOKUP(A63,Rebate_Lookup[SKU CODE],Rebate_Lookup[MOQ_1]),
H63&lt;_xlfn.XLOOKUP(A63,Rebate_Lookup[SKU CODE],Rebate_Lookup[MOQ_2])
),
1,
IF(
AND(
H63&gt;=_xlfn.XLOOKUP(A63,Rebate_Lookup[SKU CODE],Rebate_Lookup[MOQ_2]),
OR(
_xlfn.XLOOKUP(A63,Rebate_Lookup[SKU CODE],Rebate_Lookup[MOQ_3])=0,
H63&lt;_xlfn.XLOOKUP(A63,Rebate_Lookup[SKU CODE],Rebate_Lookup[MOQ_3])
)
),
2,
IF(
OR(
AND(
_xlfn.XLOOKUP(A63,Rebate_Lookup[SKU CODE],Rebate_Lookup[MOQ_4])=0,
H63&gt;=_xlfn.XLOOKUP(A63,Rebate_Lookup[SKU CODE],Rebate_Lookup[MOQ_3])
),
AND(
_xlfn.XLOOKUP(A63,Rebate_Lookup[SKU CODE],Rebate_Lookup[MOQ_4])&gt;0,
H63&gt;=_xlfn.XLOOKUP(A63,Rebate_Lookup[SKU CODE],Rebate_Lookup[MOQ_3]),
H63&lt;_xlfn.XLOOKUP(A63,Rebate_Lookup[SKU CODE],Rebate_Lookup[MOQ_4])
)
),
3,
IF(
AND(
_xlfn.XLOOKUP(A63,Rebate_Lookup[SKU CODE],Rebate_Lookup[MOQ_4])&gt;0,
H63&gt;=_xlfn.XLOOKUP(A63,Rebate_Lookup[SKU CODE],Rebate_Lookup[MOQ_4])
),
4,
1
)
)
)
)
)
)),
PRICING[Standard Use Rate (oz/M)]
),
2
))</f>
        <v>1.1000000000000001</v>
      </c>
      <c r="U63" s="129">
        <f t="shared" si="25"/>
        <v>47.92</v>
      </c>
      <c r="V63" s="129" t="str">
        <f>IF(AND(TRIM(U63)&lt;&gt;"",TRIM(H63)&lt;&gt;""),ROUND(H63*INDEX(PRICING[Package Ounces],MATCH(A63,PRICING[SKU],0))/U63,2),"")</f>
        <v/>
      </c>
      <c r="W63" s="247">
        <f t="shared" si="26"/>
        <v>0</v>
      </c>
      <c r="X63" s="248">
        <f t="shared" si="18"/>
        <v>0</v>
      </c>
      <c r="Y63" s="90"/>
      <c r="AB63" s="10" t="str">
        <f>SUBSTITUTE(F63," gal","")</f>
        <v>2.5</v>
      </c>
      <c r="AC63" s="90">
        <f>H63*AB63</f>
        <v>0</v>
      </c>
      <c r="AD63" s="90" t="b">
        <f>IF(
    SUM(AC63:AC67)&gt;=150,
    TRUE,
    FALSE
)</f>
        <v>0</v>
      </c>
      <c r="AE63" s="90"/>
      <c r="AF63" s="90"/>
      <c r="AG63" s="90"/>
      <c r="AH63" s="90"/>
      <c r="AI63" s="90"/>
      <c r="AJ63" s="90"/>
      <c r="AK63" s="90"/>
      <c r="AL63" s="90"/>
      <c r="AM63" s="90"/>
      <c r="AN63" s="90"/>
      <c r="AO63" s="90"/>
      <c r="AP63" s="90"/>
      <c r="AQ63" s="90"/>
      <c r="AR63" s="90"/>
      <c r="AS63" s="90"/>
      <c r="AT63" s="90"/>
      <c r="AU63" s="90"/>
      <c r="AV63" s="90"/>
      <c r="AW63" s="90"/>
      <c r="AX63" s="90"/>
      <c r="AY63" s="90"/>
      <c r="AZ63" s="90"/>
      <c r="BA63" s="90"/>
      <c r="BB63" s="90"/>
      <c r="BC63" s="90"/>
      <c r="BD63" s="90"/>
      <c r="BE63" s="90"/>
      <c r="BF63" s="90"/>
    </row>
    <row r="64" spans="1:58" ht="18" customHeight="1" x14ac:dyDescent="0.2">
      <c r="A64" s="255" t="s">
        <v>76</v>
      </c>
      <c r="B64" s="259" t="b">
        <f t="shared" si="19"/>
        <v>0</v>
      </c>
      <c r="D64" s="268" t="str" cm="1">
        <f t="array" ref="D64">IFERROR(
    _xlfn.TEXTJOIN(
        "; ",
        TRUE,
        _xlfn._xlws.FILTER(
            IF(
                ISNUMBER(SEARCH("Terradex",E64)),
                TEXT(ROUND(PRICING[Rebate $]/AB64,2),"$#,##0.00")&amp;
                " off per gal with "&amp;
                SUBSTITUTE(PRICING[Min Qty]," gal","")&amp;
                " + Terradex gallons",
                TEXT(PRICING[Rebate $],"$#,##0.00")&amp;
                " off on "&amp;
                IF(
                    (PRICING[Min Qty]="")+(PRICING[Min Qty]=0),
                    "1 unit",
                    PRICING[Min Qty]&amp;" units"
                )
            ),
            (PRICING[SKU]=$A64)*
            (
                ISNUMBER(SEARCH("Terradex",E64))+
                (
                    (PRICING[Rebate $]&lt;&gt;"")*
                    (PRICING[Rebate $]&lt;&gt;0)
                )
            )
        )
    ),
    "n/a"
)</f>
        <v>$13.00 off per gal with 150 + Terradex gallons</v>
      </c>
      <c r="E64" s="122" t="str">
        <f>_xlfn.XLOOKUP(A64, PRICING[SKU], PRICING[Product], "")</f>
        <v>Terradex®  Power Premix</v>
      </c>
      <c r="F64" s="37" t="str">
        <f>_xlfn.XLOOKUP(A64, PRICING[SKU], PRICING[Size], "")</f>
        <v>30 gal</v>
      </c>
      <c r="G64" s="123" t="str">
        <f>IF(_xlfn.XLOOKUP(A64,PRICING[SKU],PRICING[Indication])="I","Insecticide",
 IF(_xlfn.XLOOKUP(A64,PRICING[SKU],PRICING[Indication])="H","Herbicide",
 IF(_xlfn.XLOOKUP(A64,PRICING[SKU],PRICING[Indication])="F","Fungicide",
 IF(_xlfn.XLOOKUP(A64,PRICING[SKU],PRICING[Indication])="PGR","PGR",""))))</f>
        <v>Herbicide</v>
      </c>
      <c r="H64" s="109"/>
      <c r="I64" s="110"/>
      <c r="J64" s="38">
        <f>INDEX(PRICING[NOW Price],MATCH(A64,PRICING[SKU],0))</f>
        <v>2103.44</v>
      </c>
      <c r="K64" s="38" t="str">
        <f>IF(OR(H64="",O64=""),"",
IF(O64=1,INDEX(Rebate_Lookup[REB_MOQ_1],MATCH(A64,Rebate_Lookup[SKU CODE],0)),
IF(O64=2,INDEX(Rebate_Lookup[REB_MOQ_2],MATCH(A64,Rebate_Lookup[SKU CODE],0)),
IF(O64=3,INDEX(Rebate_Lookup[REB_MOQ_3],MATCH(A64,Rebate_Lookup[SKU CODE],0)),
IF(O64=4,INDEX(Rebate_Lookup[REB_MOQ_4],MATCH(A64,Rebate_Lookup[SKU CODE],0)),
"#err")))))</f>
        <v/>
      </c>
      <c r="L64" s="38" t="str">
        <f t="shared" si="20"/>
        <v/>
      </c>
      <c r="M64" s="124" t="str">
        <f t="shared" si="21"/>
        <v/>
      </c>
      <c r="N64" s="125" t="str">
        <f t="shared" si="22"/>
        <v/>
      </c>
      <c r="O64" s="270" t="str">
        <f t="shared" si="27"/>
        <v/>
      </c>
      <c r="P64" s="38" t="str">
        <f t="shared" si="23"/>
        <v/>
      </c>
      <c r="Q64" s="126" t="str">
        <f t="shared" si="24"/>
        <v/>
      </c>
      <c r="R64" s="127"/>
      <c r="S64" s="128"/>
      <c r="T64" s="272" cm="1">
        <f t="array" ref="T64">IF(OR(H64="",H64=0),
ROUND(_xlfn.XLOOKUP(1,(PRICING[SKU]=A64)*(PRICING[Set]=1),PRICING[Standard Use Rate (oz/M)]),2),ROUND(
_xlfn.XLOOKUP(
1,
(PRICING[SKU]=A64)*
(PRICING[Set]=IF(
_xlfn.XLOOKUP(A64,Rebate_Lookup[SKU CODE],Rebate_Lookup[MOQ_2])=0,
1,
IF(
AND(
_xlfn.XLOOKUP(A64,Rebate_Lookup[SKU CODE],Rebate_Lookup[MOQ_3])=0,
H64&gt;=_xlfn.XLOOKUP(A64,Rebate_Lookup[SKU CODE],Rebate_Lookup[MOQ_2])
),
2,
IF(
AND(
H64&gt;=_xlfn.XLOOKUP(A64,Rebate_Lookup[SKU CODE],Rebate_Lookup[MOQ_1]),
H64&lt;_xlfn.XLOOKUP(A64,Rebate_Lookup[SKU CODE],Rebate_Lookup[MOQ_2])
),
1,
IF(
AND(
H64&gt;=_xlfn.XLOOKUP(A64,Rebate_Lookup[SKU CODE],Rebate_Lookup[MOQ_2]),
OR(
_xlfn.XLOOKUP(A64,Rebate_Lookup[SKU CODE],Rebate_Lookup[MOQ_3])=0,
H64&lt;_xlfn.XLOOKUP(A64,Rebate_Lookup[SKU CODE],Rebate_Lookup[MOQ_3])
)
),
2,
IF(
OR(
AND(
_xlfn.XLOOKUP(A64,Rebate_Lookup[SKU CODE],Rebate_Lookup[MOQ_4])=0,
H64&gt;=_xlfn.XLOOKUP(A64,Rebate_Lookup[SKU CODE],Rebate_Lookup[MOQ_3])
),
AND(
_xlfn.XLOOKUP(A64,Rebate_Lookup[SKU CODE],Rebate_Lookup[MOQ_4])&gt;0,
H64&gt;=_xlfn.XLOOKUP(A64,Rebate_Lookup[SKU CODE],Rebate_Lookup[MOQ_3]),
H64&lt;_xlfn.XLOOKUP(A64,Rebate_Lookup[SKU CODE],Rebate_Lookup[MOQ_4])
)
),
3,
IF(
AND(
_xlfn.XLOOKUP(A64,Rebate_Lookup[SKU CODE],Rebate_Lookup[MOQ_4])&gt;0,
H64&gt;=_xlfn.XLOOKUP(A64,Rebate_Lookup[SKU CODE],Rebate_Lookup[MOQ_4])
),
4,
1
)
)
)
)
)
)),
PRICING[Standard Use Rate (oz/M)]
),
2
))</f>
        <v>1.1000000000000001</v>
      </c>
      <c r="U64" s="129">
        <f t="shared" si="25"/>
        <v>47.92</v>
      </c>
      <c r="V64" s="129" t="str">
        <f>IF(AND(TRIM(U64)&lt;&gt;"",TRIM(H64)&lt;&gt;""),ROUND(H64*INDEX(PRICING[Package Ounces],MATCH(A64,PRICING[SKU],0))/U64,2),"")</f>
        <v/>
      </c>
      <c r="W64" s="247">
        <f t="shared" si="26"/>
        <v>0</v>
      </c>
      <c r="X64" s="248">
        <f t="shared" si="18"/>
        <v>0</v>
      </c>
      <c r="Y64" s="90"/>
      <c r="AB64" s="10" t="str">
        <f>SUBSTITUTE(F64," gal","")</f>
        <v>30</v>
      </c>
      <c r="AC64" s="90">
        <f t="shared" ref="AC64:AC67" si="28">H64*AB64</f>
        <v>0</v>
      </c>
      <c r="AD64" s="90"/>
      <c r="AE64" s="90"/>
      <c r="AF64" s="90"/>
      <c r="AG64" s="90"/>
      <c r="AH64" s="90"/>
      <c r="AI64" s="90"/>
      <c r="AJ64" s="90"/>
      <c r="AK64" s="90"/>
      <c r="AL64" s="90"/>
      <c r="AM64" s="90"/>
      <c r="AN64" s="90"/>
      <c r="AO64" s="90"/>
      <c r="AP64" s="90"/>
      <c r="AQ64" s="90"/>
      <c r="AR64" s="90"/>
      <c r="AS64" s="90"/>
      <c r="AT64" s="90"/>
      <c r="AU64" s="90"/>
      <c r="AV64" s="90"/>
      <c r="AW64" s="90"/>
      <c r="AX64" s="90"/>
      <c r="AY64" s="90"/>
      <c r="AZ64" s="90"/>
      <c r="BA64" s="90"/>
      <c r="BB64" s="90"/>
      <c r="BC64" s="90"/>
      <c r="BD64" s="90"/>
      <c r="BE64" s="90"/>
      <c r="BF64" s="90"/>
    </row>
    <row r="65" spans="1:60" ht="18" customHeight="1" x14ac:dyDescent="0.2">
      <c r="A65" s="253" t="s">
        <v>77</v>
      </c>
      <c r="B65" s="259" t="b">
        <f t="shared" si="19"/>
        <v>0</v>
      </c>
      <c r="D65" s="268" t="str" cm="1">
        <f t="array" ref="D65">IFERROR(
    _xlfn.TEXTJOIN(
        "; ",
        TRUE,
        _xlfn._xlws.FILTER(
            IF(
                ISNUMBER(SEARCH("Terradex",E65)),
                TEXT(ROUND(PRICING[Rebate $]/AB65,2),"$#,##0.00")&amp;
                " off per gal with "&amp;
                SUBSTITUTE(PRICING[Min Qty]," gal","")&amp;
                " + Terradex gallons",
                TEXT(PRICING[Rebate $],"$#,##0.00")&amp;
                " off on "&amp;
                IF(
                    (PRICING[Min Qty]="")+(PRICING[Min Qty]=0),
                    "1 unit",
                    PRICING[Min Qty]&amp;" units"
                )
            ),
            (PRICING[SKU]=$A65)*
            (
                ISNUMBER(SEARCH("Terradex",E65))+
                (
                    (PRICING[Rebate $]&lt;&gt;"")*
                    (PRICING[Rebate $]&lt;&gt;0)
                )
            )
        )
    ),
    "n/a"
)</f>
        <v>$13.00 off per gal with 150 + Terradex gallons</v>
      </c>
      <c r="E65" s="122" t="str">
        <f>_xlfn.XLOOKUP(A65, PRICING[SKU], PRICING[Product], "")</f>
        <v>Terradex®  Quick Strike</v>
      </c>
      <c r="F65" s="37" t="str">
        <f>_xlfn.XLOOKUP(A65, PRICING[SKU], PRICING[Size], "")</f>
        <v>1 gal</v>
      </c>
      <c r="G65" s="123" t="str">
        <f>IF(_xlfn.XLOOKUP(A65,PRICING[SKU],PRICING[Indication])="I","Insecticide",
 IF(_xlfn.XLOOKUP(A65,PRICING[SKU],PRICING[Indication])="H","Herbicide",
 IF(_xlfn.XLOOKUP(A65,PRICING[SKU],PRICING[Indication])="F","Fungicide",
 IF(_xlfn.XLOOKUP(A65,PRICING[SKU],PRICING[Indication])="PGR","PGR",""))))</f>
        <v>Herbicide</v>
      </c>
      <c r="H65" s="109"/>
      <c r="I65" s="110"/>
      <c r="J65" s="38">
        <f>INDEX(PRICING[NOW Price],MATCH(A65,PRICING[SKU],0))</f>
        <v>68.39</v>
      </c>
      <c r="K65" s="38" t="str">
        <f>IF(OR(H65="",O65=""),"",
IF(O65=1,INDEX(Rebate_Lookup[REB_MOQ_1],MATCH(A65,Rebate_Lookup[SKU CODE],0)),
IF(O65=2,INDEX(Rebate_Lookup[REB_MOQ_2],MATCH(A65,Rebate_Lookup[SKU CODE],0)),
IF(O65=3,INDEX(Rebate_Lookup[REB_MOQ_3],MATCH(A65,Rebate_Lookup[SKU CODE],0)),
IF(O65=4,INDEX(Rebate_Lookup[REB_MOQ_4],MATCH(A65,Rebate_Lookup[SKU CODE],0)),
"#err")))))</f>
        <v/>
      </c>
      <c r="L65" s="38" t="str">
        <f t="shared" si="20"/>
        <v/>
      </c>
      <c r="M65" s="124" t="str">
        <f t="shared" si="21"/>
        <v/>
      </c>
      <c r="N65" s="125" t="str">
        <f t="shared" si="22"/>
        <v/>
      </c>
      <c r="O65" s="270" t="str">
        <f>IF(OR(H65="",$AD$63=FALSE),"",1)</f>
        <v/>
      </c>
      <c r="P65" s="38" t="str">
        <f t="shared" si="23"/>
        <v/>
      </c>
      <c r="Q65" s="126" t="str">
        <f t="shared" si="24"/>
        <v/>
      </c>
      <c r="R65" s="127"/>
      <c r="S65" s="128"/>
      <c r="T65" s="272" cm="1">
        <f t="array" ref="T65">IF(OR(H65="",H65=0),
ROUND(_xlfn.XLOOKUP(1,(PRICING[SKU]=A65)*(PRICING[Set]=1),PRICING[Standard Use Rate (oz/M)]),2),ROUND(
_xlfn.XLOOKUP(
1,
(PRICING[SKU]=A65)*
(PRICING[Set]=IF(
_xlfn.XLOOKUP(A65,Rebate_Lookup[SKU CODE],Rebate_Lookup[MOQ_2])=0,
1,
IF(
AND(
_xlfn.XLOOKUP(A65,Rebate_Lookup[SKU CODE],Rebate_Lookup[MOQ_3])=0,
H65&gt;=_xlfn.XLOOKUP(A65,Rebate_Lookup[SKU CODE],Rebate_Lookup[MOQ_2])
),
2,
IF(
AND(
H65&gt;=_xlfn.XLOOKUP(A65,Rebate_Lookup[SKU CODE],Rebate_Lookup[MOQ_1]),
H65&lt;_xlfn.XLOOKUP(A65,Rebate_Lookup[SKU CODE],Rebate_Lookup[MOQ_2])
),
1,
IF(
AND(
H65&gt;=_xlfn.XLOOKUP(A65,Rebate_Lookup[SKU CODE],Rebate_Lookup[MOQ_2]),
OR(
_xlfn.XLOOKUP(A65,Rebate_Lookup[SKU CODE],Rebate_Lookup[MOQ_3])=0,
H65&lt;_xlfn.XLOOKUP(A65,Rebate_Lookup[SKU CODE],Rebate_Lookup[MOQ_3])
)
),
2,
IF(
OR(
AND(
_xlfn.XLOOKUP(A65,Rebate_Lookup[SKU CODE],Rebate_Lookup[MOQ_4])=0,
H65&gt;=_xlfn.XLOOKUP(A65,Rebate_Lookup[SKU CODE],Rebate_Lookup[MOQ_3])
),
AND(
_xlfn.XLOOKUP(A65,Rebate_Lookup[SKU CODE],Rebate_Lookup[MOQ_4])&gt;0,
H65&gt;=_xlfn.XLOOKUP(A65,Rebate_Lookup[SKU CODE],Rebate_Lookup[MOQ_3]),
H65&lt;_xlfn.XLOOKUP(A65,Rebate_Lookup[SKU CODE],Rebate_Lookup[MOQ_4])
)
),
3,
IF(
AND(
_xlfn.XLOOKUP(A65,Rebate_Lookup[SKU CODE],Rebate_Lookup[MOQ_4])&gt;0,
H65&gt;=_xlfn.XLOOKUP(A65,Rebate_Lookup[SKU CODE],Rebate_Lookup[MOQ_4])
),
4,
1
)
)
)
)
)
)),
PRICING[Standard Use Rate (oz/M)]
),
2
))</f>
        <v>1.1000000000000001</v>
      </c>
      <c r="U65" s="129">
        <f t="shared" si="25"/>
        <v>47.92</v>
      </c>
      <c r="V65" s="129" t="str">
        <f>IF(AND(TRIM(U65)&lt;&gt;"",TRIM(H65)&lt;&gt;""),ROUND(H65*INDEX(PRICING[Package Ounces],MATCH(A65,PRICING[SKU],0))/U65,2),"")</f>
        <v/>
      </c>
      <c r="W65" s="247">
        <f t="shared" si="26"/>
        <v>0</v>
      </c>
      <c r="X65" s="248">
        <f t="shared" si="18"/>
        <v>0</v>
      </c>
      <c r="Y65" s="90"/>
      <c r="AB65" s="10" t="str">
        <f>SUBSTITUTE(F65," gal","")</f>
        <v>1</v>
      </c>
      <c r="AC65" s="90">
        <f t="shared" si="28"/>
        <v>0</v>
      </c>
      <c r="AD65" s="90"/>
      <c r="AE65" s="90"/>
      <c r="AF65" s="90"/>
      <c r="AG65" s="90"/>
      <c r="AH65" s="90"/>
      <c r="AI65" s="90"/>
      <c r="AJ65" s="90"/>
      <c r="AK65" s="90"/>
      <c r="AL65" s="90"/>
      <c r="AM65" s="90"/>
      <c r="AN65" s="90"/>
      <c r="AO65" s="90"/>
      <c r="AP65" s="90"/>
      <c r="AQ65" s="90"/>
      <c r="AR65" s="90"/>
      <c r="AS65" s="90"/>
      <c r="AT65" s="90"/>
      <c r="AU65" s="90"/>
      <c r="AV65" s="90"/>
      <c r="AW65" s="90"/>
      <c r="AX65" s="90"/>
      <c r="AY65" s="90"/>
      <c r="AZ65" s="90"/>
      <c r="BA65" s="90"/>
      <c r="BB65" s="90"/>
      <c r="BC65" s="90"/>
      <c r="BD65" s="90"/>
      <c r="BE65" s="90"/>
      <c r="BF65" s="90"/>
    </row>
    <row r="66" spans="1:60" ht="18" customHeight="1" x14ac:dyDescent="0.2">
      <c r="A66" s="255" t="s">
        <v>78</v>
      </c>
      <c r="B66" s="259" t="b">
        <f t="shared" si="19"/>
        <v>0</v>
      </c>
      <c r="D66" s="268" t="str" cm="1">
        <f t="array" ref="D66">IFERROR(
    _xlfn.TEXTJOIN(
        "; ",
        TRUE,
        _xlfn._xlws.FILTER(
            IF(
                ISNUMBER(SEARCH("Terradex",E66)),
                TEXT(ROUND(PRICING[Rebate $]/AB66,2),"$#,##0.00")&amp;
                " off per gal with "&amp;
                SUBSTITUTE(PRICING[Min Qty]," gal","")&amp;
                " + Terradex gallons",
                TEXT(PRICING[Rebate $],"$#,##0.00")&amp;
                " off on "&amp;
                IF(
                    (PRICING[Min Qty]="")+(PRICING[Min Qty]=0),
                    "1 unit",
                    PRICING[Min Qty]&amp;" units"
                )
            ),
            (PRICING[SKU]=$A66)*
            (
                ISNUMBER(SEARCH("Terradex",E66))+
                (
                    (PRICING[Rebate $]&lt;&gt;"")*
                    (PRICING[Rebate $]&lt;&gt;0)
                )
            )
        )
    ),
    "n/a"
)</f>
        <v>$12.80 off per gal with 150 + Terradex gallons</v>
      </c>
      <c r="E66" s="122" t="str">
        <f>_xlfn.XLOOKUP(A66, PRICING[SKU], PRICING[Product], "")</f>
        <v>Terradex®  Quick Strike</v>
      </c>
      <c r="F66" s="37" t="str">
        <f>_xlfn.XLOOKUP(A66, PRICING[SKU], PRICING[Size], "")</f>
        <v>2.5 gal</v>
      </c>
      <c r="G66" s="123" t="str">
        <f>IF(_xlfn.XLOOKUP(A66,PRICING[SKU],PRICING[Indication])="I","Insecticide",
 IF(_xlfn.XLOOKUP(A66,PRICING[SKU],PRICING[Indication])="H","Herbicide",
 IF(_xlfn.XLOOKUP(A66,PRICING[SKU],PRICING[Indication])="F","Fungicide",
 IF(_xlfn.XLOOKUP(A66,PRICING[SKU],PRICING[Indication])="PGR","PGR",""))))</f>
        <v>Herbicide</v>
      </c>
      <c r="H66" s="109"/>
      <c r="I66" s="110"/>
      <c r="J66" s="38">
        <f>INDEX(PRICING[NOW Price],MATCH(A66,PRICING[SKU],0))</f>
        <v>162.49</v>
      </c>
      <c r="K66" s="38" t="str">
        <f>IF(OR(H66="",O66=""),"",
IF(O66=1,INDEX(Rebate_Lookup[REB_MOQ_1],MATCH(A66,Rebate_Lookup[SKU CODE],0)),
IF(O66=2,INDEX(Rebate_Lookup[REB_MOQ_2],MATCH(A66,Rebate_Lookup[SKU CODE],0)),
IF(O66=3,INDEX(Rebate_Lookup[REB_MOQ_3],MATCH(A66,Rebate_Lookup[SKU CODE],0)),
IF(O66=4,INDEX(Rebate_Lookup[REB_MOQ_4],MATCH(A66,Rebate_Lookup[SKU CODE],0)),
"#err")))))</f>
        <v/>
      </c>
      <c r="L66" s="38" t="str">
        <f t="shared" si="20"/>
        <v/>
      </c>
      <c r="M66" s="124" t="str">
        <f t="shared" si="21"/>
        <v/>
      </c>
      <c r="N66" s="125" t="str">
        <f t="shared" si="22"/>
        <v/>
      </c>
      <c r="O66" s="270" t="str">
        <f t="shared" si="27"/>
        <v/>
      </c>
      <c r="P66" s="38" t="str">
        <f t="shared" si="23"/>
        <v/>
      </c>
      <c r="Q66" s="126" t="str">
        <f t="shared" si="24"/>
        <v/>
      </c>
      <c r="R66" s="127"/>
      <c r="S66" s="128"/>
      <c r="T66" s="272" cm="1">
        <f t="array" ref="T66">IF(OR(H66="",H66=0),
ROUND(_xlfn.XLOOKUP(1,(PRICING[SKU]=A66)*(PRICING[Set]=1),PRICING[Standard Use Rate (oz/M)]),2),ROUND(
_xlfn.XLOOKUP(
1,
(PRICING[SKU]=A66)*
(PRICING[Set]=IF(
_xlfn.XLOOKUP(A66,Rebate_Lookup[SKU CODE],Rebate_Lookup[MOQ_2])=0,
1,
IF(
AND(
_xlfn.XLOOKUP(A66,Rebate_Lookup[SKU CODE],Rebate_Lookup[MOQ_3])=0,
H66&gt;=_xlfn.XLOOKUP(A66,Rebate_Lookup[SKU CODE],Rebate_Lookup[MOQ_2])
),
2,
IF(
AND(
H66&gt;=_xlfn.XLOOKUP(A66,Rebate_Lookup[SKU CODE],Rebate_Lookup[MOQ_1]),
H66&lt;_xlfn.XLOOKUP(A66,Rebate_Lookup[SKU CODE],Rebate_Lookup[MOQ_2])
),
1,
IF(
AND(
H66&gt;=_xlfn.XLOOKUP(A66,Rebate_Lookup[SKU CODE],Rebate_Lookup[MOQ_2]),
OR(
_xlfn.XLOOKUP(A66,Rebate_Lookup[SKU CODE],Rebate_Lookup[MOQ_3])=0,
H66&lt;_xlfn.XLOOKUP(A66,Rebate_Lookup[SKU CODE],Rebate_Lookup[MOQ_3])
)
),
2,
IF(
OR(
AND(
_xlfn.XLOOKUP(A66,Rebate_Lookup[SKU CODE],Rebate_Lookup[MOQ_4])=0,
H66&gt;=_xlfn.XLOOKUP(A66,Rebate_Lookup[SKU CODE],Rebate_Lookup[MOQ_3])
),
AND(
_xlfn.XLOOKUP(A66,Rebate_Lookup[SKU CODE],Rebate_Lookup[MOQ_4])&gt;0,
H66&gt;=_xlfn.XLOOKUP(A66,Rebate_Lookup[SKU CODE],Rebate_Lookup[MOQ_3]),
H66&lt;_xlfn.XLOOKUP(A66,Rebate_Lookup[SKU CODE],Rebate_Lookup[MOQ_4])
)
),
3,
IF(
AND(
_xlfn.XLOOKUP(A66,Rebate_Lookup[SKU CODE],Rebate_Lookup[MOQ_4])&gt;0,
H66&gt;=_xlfn.XLOOKUP(A66,Rebate_Lookup[SKU CODE],Rebate_Lookup[MOQ_4])
),
4,
1
)
)
)
)
)
)),
PRICING[Standard Use Rate (oz/M)]
),
2
))</f>
        <v>1.1000000000000001</v>
      </c>
      <c r="U66" s="129">
        <f t="shared" si="25"/>
        <v>47.92</v>
      </c>
      <c r="V66" s="129" t="str">
        <f>IF(AND(TRIM(U66)&lt;&gt;"",TRIM(H66)&lt;&gt;""),ROUND(H66*INDEX(PRICING[Package Ounces],MATCH(A66,PRICING[SKU],0))/U66,2),"")</f>
        <v/>
      </c>
      <c r="W66" s="247">
        <f t="shared" si="26"/>
        <v>0</v>
      </c>
      <c r="X66" s="248">
        <f t="shared" si="18"/>
        <v>0</v>
      </c>
      <c r="Y66" s="90"/>
      <c r="AB66" s="10" t="str">
        <f>SUBSTITUTE(F66," gal","")</f>
        <v>2.5</v>
      </c>
      <c r="AC66" s="90">
        <f t="shared" si="28"/>
        <v>0</v>
      </c>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row>
    <row r="67" spans="1:60" ht="18" customHeight="1" x14ac:dyDescent="0.2">
      <c r="A67" s="253" t="s">
        <v>79</v>
      </c>
      <c r="B67" s="259" t="b">
        <f t="shared" si="19"/>
        <v>0</v>
      </c>
      <c r="D67" s="268" t="str" cm="1">
        <f t="array" ref="D67">IFERROR(
    _xlfn.TEXTJOIN(
        "; ",
        TRUE,
        _xlfn._xlws.FILTER(
            IF(
                ISNUMBER(SEARCH("Terradex",E67)),
                TEXT(ROUND(PRICING[Rebate $]/AB67,2),"$#,##0.00")&amp;
                " off per gal with "&amp;
                SUBSTITUTE(PRICING[Min Qty]," gal","")&amp;
                " + Terradex gallons",
                TEXT(PRICING[Rebate $],"$#,##0.00")&amp;
                " off on "&amp;
                IF(
                    (PRICING[Min Qty]="")+(PRICING[Min Qty]=0),
                    "1 unit",
                    PRICING[Min Qty]&amp;" units"
                )
            ),
            (PRICING[SKU]=$A67)*
            (
                ISNUMBER(SEARCH("Terradex",E67))+
                (
                    (PRICING[Rebate $]&lt;&gt;"")*
                    (PRICING[Rebate $]&lt;&gt;0)
                )
            )
        )
    ),
    "n/a"
)</f>
        <v>$13.33 off per gal with 150 + Terradex gallons</v>
      </c>
      <c r="E67" s="122" t="str">
        <f>_xlfn.XLOOKUP(A67, PRICING[SKU], PRICING[Product], "")</f>
        <v>Terradex®  Quick Strike</v>
      </c>
      <c r="F67" s="37" t="str">
        <f>_xlfn.XLOOKUP(A67, PRICING[SKU], PRICING[Size], "")</f>
        <v>30 gal</v>
      </c>
      <c r="G67" s="123" t="str">
        <f>IF(_xlfn.XLOOKUP(A67,PRICING[SKU],PRICING[Indication])="I","Insecticide",
 IF(_xlfn.XLOOKUP(A67,PRICING[SKU],PRICING[Indication])="H","Herbicide",
 IF(_xlfn.XLOOKUP(A67,PRICING[SKU],PRICING[Indication])="F","Fungicide",
 IF(_xlfn.XLOOKUP(A67,PRICING[SKU],PRICING[Indication])="PGR","PGR",""))))</f>
        <v>Herbicide</v>
      </c>
      <c r="H67" s="109"/>
      <c r="I67" s="110"/>
      <c r="J67" s="38">
        <f>INDEX(PRICING[NOW Price],MATCH(A67,PRICING[SKU],0))</f>
        <v>1846.97</v>
      </c>
      <c r="K67" s="38" t="str">
        <f>IF(OR(H67="",O67=""),"",
IF(O67=1,INDEX(Rebate_Lookup[REB_MOQ_1],MATCH(A67,Rebate_Lookup[SKU CODE],0)),
IF(O67=2,INDEX(Rebate_Lookup[REB_MOQ_2],MATCH(A67,Rebate_Lookup[SKU CODE],0)),
IF(O67=3,INDEX(Rebate_Lookup[REB_MOQ_3],MATCH(A67,Rebate_Lookup[SKU CODE],0)),
IF(O67=4,INDEX(Rebate_Lookup[REB_MOQ_4],MATCH(A67,Rebate_Lookup[SKU CODE],0)),
"#err")))))</f>
        <v/>
      </c>
      <c r="L67" s="38" t="str">
        <f t="shared" si="20"/>
        <v/>
      </c>
      <c r="M67" s="124" t="str">
        <f t="shared" si="21"/>
        <v/>
      </c>
      <c r="N67" s="125" t="str">
        <f t="shared" si="22"/>
        <v/>
      </c>
      <c r="O67" s="270" t="str">
        <f t="shared" si="27"/>
        <v/>
      </c>
      <c r="P67" s="38" t="str">
        <f t="shared" si="23"/>
        <v/>
      </c>
      <c r="Q67" s="126" t="str">
        <f t="shared" si="24"/>
        <v/>
      </c>
      <c r="R67" s="127"/>
      <c r="S67" s="128"/>
      <c r="T67" s="272" cm="1">
        <f t="array" ref="T67">IF(OR(H67="",H67=0),
ROUND(_xlfn.XLOOKUP(1,(PRICING[SKU]=A67)*(PRICING[Set]=1),PRICING[Standard Use Rate (oz/M)]),2),ROUND(
_xlfn.XLOOKUP(
1,
(PRICING[SKU]=A67)*
(PRICING[Set]=IF(
_xlfn.XLOOKUP(A67,Rebate_Lookup[SKU CODE],Rebate_Lookup[MOQ_2])=0,
1,
IF(
AND(
_xlfn.XLOOKUP(A67,Rebate_Lookup[SKU CODE],Rebate_Lookup[MOQ_3])=0,
H67&gt;=_xlfn.XLOOKUP(A67,Rebate_Lookup[SKU CODE],Rebate_Lookup[MOQ_2])
),
2,
IF(
AND(
H67&gt;=_xlfn.XLOOKUP(A67,Rebate_Lookup[SKU CODE],Rebate_Lookup[MOQ_1]),
H67&lt;_xlfn.XLOOKUP(A67,Rebate_Lookup[SKU CODE],Rebate_Lookup[MOQ_2])
),
1,
IF(
AND(
H67&gt;=_xlfn.XLOOKUP(A67,Rebate_Lookup[SKU CODE],Rebate_Lookup[MOQ_2]),
OR(
_xlfn.XLOOKUP(A67,Rebate_Lookup[SKU CODE],Rebate_Lookup[MOQ_3])=0,
H67&lt;_xlfn.XLOOKUP(A67,Rebate_Lookup[SKU CODE],Rebate_Lookup[MOQ_3])
)
),
2,
IF(
OR(
AND(
_xlfn.XLOOKUP(A67,Rebate_Lookup[SKU CODE],Rebate_Lookup[MOQ_4])=0,
H67&gt;=_xlfn.XLOOKUP(A67,Rebate_Lookup[SKU CODE],Rebate_Lookup[MOQ_3])
),
AND(
_xlfn.XLOOKUP(A67,Rebate_Lookup[SKU CODE],Rebate_Lookup[MOQ_4])&gt;0,
H67&gt;=_xlfn.XLOOKUP(A67,Rebate_Lookup[SKU CODE],Rebate_Lookup[MOQ_3]),
H67&lt;_xlfn.XLOOKUP(A67,Rebate_Lookup[SKU CODE],Rebate_Lookup[MOQ_4])
)
),
3,
IF(
AND(
_xlfn.XLOOKUP(A67,Rebate_Lookup[SKU CODE],Rebate_Lookup[MOQ_4])&gt;0,
H67&gt;=_xlfn.XLOOKUP(A67,Rebate_Lookup[SKU CODE],Rebate_Lookup[MOQ_4])
),
4,
1
)
)
)
)
)
)),
PRICING[Standard Use Rate (oz/M)]
),
2
))</f>
        <v>1.1000000000000001</v>
      </c>
      <c r="U67" s="129">
        <f t="shared" si="25"/>
        <v>47.92</v>
      </c>
      <c r="V67" s="129" t="str">
        <f>IF(AND(TRIM(U67)&lt;&gt;"",TRIM(H67)&lt;&gt;""),ROUND(H67*INDEX(PRICING[Package Ounces],MATCH(A67,PRICING[SKU],0))/U67,2),"")</f>
        <v/>
      </c>
      <c r="W67" s="247">
        <f t="shared" si="26"/>
        <v>0</v>
      </c>
      <c r="X67" s="248">
        <f t="shared" si="18"/>
        <v>0</v>
      </c>
      <c r="Y67" s="90"/>
      <c r="AB67" s="10" t="str">
        <f>SUBSTITUTE(F67," gal","")</f>
        <v>30</v>
      </c>
      <c r="AC67" s="90">
        <f t="shared" si="28"/>
        <v>0</v>
      </c>
      <c r="AD67" s="90"/>
      <c r="AE67" s="90"/>
      <c r="AF67" s="90"/>
      <c r="AG67" s="90"/>
      <c r="AH67" s="90"/>
      <c r="AI67" s="90"/>
      <c r="AJ67" s="90"/>
      <c r="AK67" s="90"/>
      <c r="AL67" s="90"/>
      <c r="AM67" s="90"/>
      <c r="AN67" s="90"/>
      <c r="AO67" s="90"/>
      <c r="AP67" s="90"/>
      <c r="AQ67" s="90"/>
      <c r="AR67" s="90"/>
      <c r="AS67" s="90"/>
      <c r="AT67" s="90"/>
      <c r="AU67" s="90"/>
      <c r="AV67" s="90"/>
      <c r="AW67" s="90"/>
      <c r="AX67" s="90"/>
      <c r="AY67" s="90"/>
      <c r="AZ67" s="90"/>
      <c r="BA67" s="90"/>
      <c r="BB67" s="90"/>
      <c r="BC67" s="90"/>
      <c r="BD67" s="90"/>
      <c r="BE67" s="90"/>
      <c r="BF67" s="90"/>
    </row>
    <row r="68" spans="1:60" ht="18" customHeight="1" thickBot="1" x14ac:dyDescent="0.25">
      <c r="A68" s="260" t="s">
        <v>80</v>
      </c>
      <c r="B68" s="259" t="b">
        <f t="shared" si="19"/>
        <v>1</v>
      </c>
      <c r="D68" s="268" t="str" cm="1">
        <f t="array" ref="D68">IFERROR(
    _xlfn.TEXTJOIN(
        "; ",
        TRUE,
        _xlfn._xlws.FILTER(
            IF(
                ISNUMBER(SEARCH("Terradex",E68)),
                TEXT(ROUND(PRICING[Rebate $]/AB68,2),"$#,##0.00")&amp;
                " off per gal with "&amp;
                SUBSTITUTE(PRICING[Min Qty]," gal","")&amp;
                " + Terradex gallons",
                TEXT(PRICING[Rebate $],"$#,##0.00")&amp;
                " off on "&amp;
                IF(
                    (PRICING[Min Qty]="")+(PRICING[Min Qty]=0),
                    "1 unit",
                    PRICING[Min Qty]&amp;" units"
                )
            ),
            (PRICING[SKU]=$A68)*
            (
                ISNUMBER(SEARCH("Terradex",E68))+
                (
                    (PRICING[Rebate $]&lt;&gt;"")*
                    (PRICING[Rebate $]&lt;&gt;0)
                )
            )
        )
    ),
    "n/a"
)</f>
        <v>$2.00 off on 1 unit</v>
      </c>
      <c r="E68" s="122" t="str">
        <f>_xlfn.XLOOKUP(A68, PRICING[SKU], PRICING[Product], "")</f>
        <v>TopChoice®</v>
      </c>
      <c r="F68" s="37" t="str">
        <f>_xlfn.XLOOKUP(A68, PRICING[SKU], PRICING[Size], "")</f>
        <v>50 lb</v>
      </c>
      <c r="G68" s="123" t="str">
        <f>IF(_xlfn.XLOOKUP(A68,PRICING[SKU],PRICING[Indication])="I","Insecticide",
 IF(_xlfn.XLOOKUP(A68,PRICING[SKU],PRICING[Indication])="H","Herbicide",
 IF(_xlfn.XLOOKUP(A68,PRICING[SKU],PRICING[Indication])="F","Fungicide",
 IF(_xlfn.XLOOKUP(A68,PRICING[SKU],PRICING[Indication])="PGR","PGR",""))))</f>
        <v>Insecticide</v>
      </c>
      <c r="H68" s="109">
        <v>1000</v>
      </c>
      <c r="I68" s="110">
        <v>200</v>
      </c>
      <c r="J68" s="38">
        <f>INDEX(PRICING[NOW Price],MATCH(A68,PRICING[SKU],0))</f>
        <v>64.77</v>
      </c>
      <c r="K68" s="38">
        <f>IF(OR(H68="",O68=""),"",
IF(O68=1,INDEX(Rebate_Lookup[REB_MOQ_1],MATCH(A68,Rebate_Lookup[SKU CODE],0)),
IF(O68=2,INDEX(Rebate_Lookup[REB_MOQ_2],MATCH(A68,Rebate_Lookup[SKU CODE],0)),
IF(O68=3,INDEX(Rebate_Lookup[REB_MOQ_3],MATCH(A68,Rebate_Lookup[SKU CODE],0)),
IF(O68=4,INDEX(Rebate_Lookup[REB_MOQ_4],MATCH(A68,Rebate_Lookup[SKU CODE],0)),
"#err")))))</f>
        <v>2</v>
      </c>
      <c r="L68" s="38">
        <f t="shared" si="20"/>
        <v>200000</v>
      </c>
      <c r="M68" s="124">
        <f t="shared" si="21"/>
        <v>64770</v>
      </c>
      <c r="N68" s="125">
        <f t="shared" si="22"/>
        <v>64770</v>
      </c>
      <c r="O68" s="270">
        <f>IF(H68="","",INDEX(Rebate_Lookup[Qualified Rebate Tier],MATCH(A68,Rebate_Lookup[SKU CODE],0)))</f>
        <v>1</v>
      </c>
      <c r="P68" s="38">
        <f t="shared" si="23"/>
        <v>198000</v>
      </c>
      <c r="Q68" s="126">
        <f t="shared" si="24"/>
        <v>198</v>
      </c>
      <c r="R68" s="127"/>
      <c r="S68" s="128"/>
      <c r="T68" s="272" cm="1">
        <f t="array" ref="T68">IF(OR(H68="",H68=0),
ROUND(_xlfn.XLOOKUP(1,(PRICING[SKU]=A68)*(PRICING[Set]=1),PRICING[Standard Use Rate (oz/M)]),2),ROUND(
_xlfn.XLOOKUP(
1,
(PRICING[SKU]=A68)*
(PRICING[Set]=IF(
_xlfn.XLOOKUP(A68,Rebate_Lookup[SKU CODE],Rebate_Lookup[MOQ_2])=0,
1,
IF(
AND(
_xlfn.XLOOKUP(A68,Rebate_Lookup[SKU CODE],Rebate_Lookup[MOQ_3])=0,
H68&gt;=_xlfn.XLOOKUP(A68,Rebate_Lookup[SKU CODE],Rebate_Lookup[MOQ_2])
),
2,
IF(
AND(
H68&gt;=_xlfn.XLOOKUP(A68,Rebate_Lookup[SKU CODE],Rebate_Lookup[MOQ_1]),
H68&lt;_xlfn.XLOOKUP(A68,Rebate_Lookup[SKU CODE],Rebate_Lookup[MOQ_2])
),
1,
IF(
AND(
H68&gt;=_xlfn.XLOOKUP(A68,Rebate_Lookup[SKU CODE],Rebate_Lookup[MOQ_2]),
OR(
_xlfn.XLOOKUP(A68,Rebate_Lookup[SKU CODE],Rebate_Lookup[MOQ_3])=0,
H68&lt;_xlfn.XLOOKUP(A68,Rebate_Lookup[SKU CODE],Rebate_Lookup[MOQ_3])
)
),
2,
IF(
OR(
AND(
_xlfn.XLOOKUP(A68,Rebate_Lookup[SKU CODE],Rebate_Lookup[MOQ_4])=0,
H68&gt;=_xlfn.XLOOKUP(A68,Rebate_Lookup[SKU CODE],Rebate_Lookup[MOQ_3])
),
AND(
_xlfn.XLOOKUP(A68,Rebate_Lookup[SKU CODE],Rebate_Lookup[MOQ_4])&gt;0,
H68&gt;=_xlfn.XLOOKUP(A68,Rebate_Lookup[SKU CODE],Rebate_Lookup[MOQ_3]),
H68&lt;_xlfn.XLOOKUP(A68,Rebate_Lookup[SKU CODE],Rebate_Lookup[MOQ_4])
)
),
3,
IF(
AND(
_xlfn.XLOOKUP(A68,Rebate_Lookup[SKU CODE],Rebate_Lookup[MOQ_4])&gt;0,
H68&gt;=_xlfn.XLOOKUP(A68,Rebate_Lookup[SKU CODE],Rebate_Lookup[MOQ_4])
),
4,
1
)
)
)
)
)
)),
PRICING[Standard Use Rate (oz/M)]
),
2
))</f>
        <v>2</v>
      </c>
      <c r="U68" s="129">
        <f>ROUND(T68*43.56,2)</f>
        <v>87.12</v>
      </c>
      <c r="V68" s="129">
        <f>IF(AND(TRIM(U68)&lt;&gt;"",TRIM(H68)&lt;&gt;""),ROUND(H68*INDEX(PRICING[Package Ounces],MATCH(A68,PRICING[SKU],0))/U68,2),"")</f>
        <v>9182.74</v>
      </c>
      <c r="W68" s="247">
        <f t="shared" si="26"/>
        <v>21.56</v>
      </c>
      <c r="X68" s="248">
        <f t="shared" si="18"/>
        <v>0.49</v>
      </c>
      <c r="Y68" s="90"/>
      <c r="AC68" s="90"/>
      <c r="AD68" s="90"/>
      <c r="AE68" s="90"/>
      <c r="AF68" s="90"/>
      <c r="AG68" s="90"/>
      <c r="AH68" s="90"/>
      <c r="AI68" s="90"/>
      <c r="AJ68" s="90"/>
      <c r="AK68" s="90"/>
      <c r="AL68" s="90"/>
      <c r="AM68" s="90"/>
      <c r="AN68" s="90"/>
      <c r="AO68" s="90"/>
      <c r="AP68" s="90"/>
      <c r="AQ68" s="90"/>
      <c r="AR68" s="90"/>
      <c r="AS68" s="90"/>
      <c r="AT68" s="90"/>
      <c r="AU68" s="90"/>
      <c r="AV68" s="90"/>
      <c r="AW68" s="90"/>
      <c r="AX68" s="90"/>
      <c r="AY68" s="90"/>
      <c r="AZ68" s="90"/>
      <c r="BA68" s="90"/>
      <c r="BB68" s="90"/>
      <c r="BC68" s="90"/>
      <c r="BD68" s="90"/>
      <c r="BE68" s="90"/>
      <c r="BF68" s="90"/>
    </row>
    <row r="69" spans="1:60" ht="27" customHeight="1" thickBot="1" x14ac:dyDescent="0.25">
      <c r="A69" s="261"/>
      <c r="B69" s="262"/>
      <c r="D69" s="137"/>
      <c r="E69" s="132"/>
      <c r="F69" s="132"/>
      <c r="G69" s="132"/>
      <c r="H69" s="132"/>
      <c r="I69" s="132"/>
      <c r="J69" s="133"/>
      <c r="K69" s="132"/>
      <c r="L69" s="133">
        <f>SUM(L45:L68)</f>
        <v>200000</v>
      </c>
      <c r="M69" s="133">
        <f>SUM(M45:M68)</f>
        <v>64770</v>
      </c>
      <c r="N69" s="136">
        <f>SUM(N45:N68)</f>
        <v>64770</v>
      </c>
      <c r="O69" s="132"/>
      <c r="P69" s="133">
        <f>SUM(P45:P68)</f>
        <v>198000</v>
      </c>
      <c r="Q69" s="132"/>
      <c r="R69" s="132"/>
      <c r="S69" s="132"/>
      <c r="T69" s="132"/>
      <c r="U69" s="132"/>
      <c r="V69" s="132"/>
      <c r="W69" s="132"/>
      <c r="X69" s="134"/>
      <c r="Y69" s="90"/>
      <c r="AA69" s="90"/>
      <c r="AC69" s="90"/>
      <c r="AD69" s="90"/>
      <c r="AE69" s="90"/>
      <c r="AF69" s="90"/>
      <c r="AG69" s="90"/>
      <c r="AH69" s="90"/>
      <c r="AI69" s="90"/>
      <c r="AJ69" s="90"/>
      <c r="AK69" s="90"/>
      <c r="AL69" s="90"/>
      <c r="AM69" s="90"/>
      <c r="AN69" s="90"/>
      <c r="AO69" s="90"/>
      <c r="AP69" s="90"/>
      <c r="AQ69" s="90"/>
      <c r="AR69" s="90"/>
      <c r="AS69" s="90"/>
      <c r="AT69" s="90"/>
      <c r="AU69" s="90"/>
      <c r="AV69" s="90"/>
      <c r="AW69" s="90"/>
      <c r="AX69" s="90"/>
      <c r="AY69" s="90"/>
      <c r="AZ69" s="90"/>
      <c r="BA69" s="90"/>
      <c r="BB69" s="90"/>
      <c r="BC69" s="90"/>
      <c r="BD69" s="90"/>
      <c r="BE69" s="90"/>
      <c r="BF69" s="90"/>
    </row>
    <row r="70" spans="1:60" ht="13" customHeight="1" thickBot="1" x14ac:dyDescent="0.3">
      <c r="A70" s="263"/>
      <c r="B70" s="264"/>
      <c r="H70" s="51"/>
      <c r="I70" s="51"/>
      <c r="J70" s="51"/>
      <c r="T70" s="52"/>
      <c r="U70" s="52"/>
      <c r="V70" s="52"/>
      <c r="W70" s="52"/>
      <c r="X70" s="52"/>
      <c r="Y70" s="52"/>
      <c r="Z70" s="52"/>
      <c r="AA70" s="90"/>
      <c r="AB70" s="90"/>
      <c r="AC70" s="90"/>
      <c r="AD70" s="90"/>
      <c r="AE70" s="90"/>
      <c r="AF70" s="90"/>
      <c r="AG70" s="90"/>
      <c r="AH70" s="90"/>
      <c r="AI70" s="90"/>
      <c r="AJ70" s="90"/>
      <c r="AK70" s="90"/>
      <c r="AL70" s="90"/>
      <c r="AM70" s="90"/>
      <c r="AN70" s="90"/>
      <c r="AO70" s="90"/>
      <c r="AP70" s="90"/>
      <c r="AQ70" s="90"/>
      <c r="AR70" s="90"/>
      <c r="AS70" s="90"/>
      <c r="AT70" s="90"/>
      <c r="AU70" s="90"/>
      <c r="AV70" s="90"/>
      <c r="AW70" s="90"/>
      <c r="AX70" s="90"/>
      <c r="AY70" s="90"/>
      <c r="AZ70" s="90"/>
      <c r="BA70" s="90"/>
      <c r="BB70" s="90"/>
      <c r="BC70" s="90"/>
      <c r="BD70" s="90"/>
      <c r="BE70" s="90"/>
      <c r="BF70" s="90"/>
      <c r="BG70" s="90"/>
      <c r="BH70" s="90"/>
    </row>
    <row r="71" spans="1:60" ht="22.5" customHeight="1" x14ac:dyDescent="0.25">
      <c r="H71" s="51"/>
      <c r="I71" s="51"/>
      <c r="J71" s="135" t="s">
        <v>81</v>
      </c>
      <c r="K71" s="285"/>
      <c r="L71" s="285"/>
      <c r="M71" s="285"/>
      <c r="N71" s="285"/>
      <c r="O71" s="285"/>
      <c r="T71" s="52"/>
      <c r="U71" s="52"/>
      <c r="V71" s="52"/>
      <c r="W71" s="52"/>
      <c r="X71" s="52"/>
      <c r="Y71" s="52"/>
      <c r="Z71" s="52"/>
      <c r="AA71" s="90"/>
      <c r="AB71" s="90"/>
      <c r="AC71" s="90"/>
      <c r="AD71" s="90"/>
      <c r="AE71" s="90"/>
      <c r="AF71" s="90"/>
      <c r="AG71" s="90"/>
      <c r="AH71" s="90"/>
      <c r="AI71" s="90"/>
      <c r="AJ71" s="90"/>
      <c r="AK71" s="90"/>
      <c r="AL71" s="90"/>
      <c r="AM71" s="90"/>
      <c r="AN71" s="90"/>
      <c r="AO71" s="90"/>
      <c r="AP71" s="90"/>
      <c r="AQ71" s="90"/>
      <c r="AR71" s="90"/>
      <c r="AS71" s="90"/>
      <c r="AT71" s="90"/>
      <c r="AU71" s="90"/>
      <c r="AV71" s="90"/>
      <c r="AW71" s="90"/>
      <c r="AX71" s="90"/>
      <c r="AY71" s="90"/>
      <c r="AZ71" s="90"/>
      <c r="BA71" s="90"/>
      <c r="BB71" s="90"/>
      <c r="BC71" s="90"/>
      <c r="BD71" s="90"/>
      <c r="BE71" s="90"/>
      <c r="BF71" s="90"/>
      <c r="BG71" s="90"/>
      <c r="BH71" s="90"/>
    </row>
    <row r="72" spans="1:60" ht="18" customHeight="1" x14ac:dyDescent="0.2">
      <c r="I72" s="286" t="str">
        <f>IF(COUNTIFS(H45:H68,"&lt;&gt;",I45:I68,"")&gt;0,"**ERROR**: MISSING PRICE INPUT VALUE","")</f>
        <v/>
      </c>
      <c r="J72" s="286"/>
      <c r="K72" s="286"/>
      <c r="L72" s="286"/>
    </row>
    <row r="73" spans="1:60" ht="18" customHeight="1" x14ac:dyDescent="0.2"/>
    <row r="75" spans="1:60" ht="18" customHeight="1" thickBot="1" x14ac:dyDescent="0.35">
      <c r="D75" s="89" t="s">
        <v>82</v>
      </c>
      <c r="E75" s="53"/>
      <c r="F75" s="53"/>
      <c r="G75" s="53"/>
      <c r="H75" s="53"/>
      <c r="I75" s="53"/>
      <c r="J75" s="53"/>
      <c r="K75" s="53"/>
      <c r="L75" s="53"/>
      <c r="M75" s="53"/>
      <c r="N75" s="53"/>
      <c r="O75" s="53"/>
      <c r="P75" s="53"/>
      <c r="Q75" s="53"/>
      <c r="R75" s="53"/>
      <c r="S75" s="53"/>
      <c r="T75" s="53"/>
      <c r="U75" s="53"/>
      <c r="V75" s="53"/>
      <c r="W75" s="53"/>
      <c r="X75" s="53"/>
      <c r="Y75" s="55"/>
      <c r="Z75" s="55"/>
      <c r="AA75" s="90"/>
      <c r="AB75" s="90"/>
      <c r="AC75" s="90"/>
      <c r="AD75" s="90"/>
      <c r="AE75" s="90"/>
      <c r="AF75" s="90"/>
      <c r="AG75" s="90"/>
      <c r="AH75" s="90"/>
      <c r="AI75" s="90"/>
      <c r="AJ75" s="90"/>
      <c r="AK75" s="90"/>
      <c r="AL75" s="90"/>
      <c r="AM75" s="90"/>
      <c r="AN75" s="90"/>
      <c r="AO75" s="90"/>
      <c r="AP75" s="90"/>
      <c r="AQ75" s="90"/>
      <c r="AR75" s="90"/>
      <c r="AS75" s="90"/>
      <c r="AT75" s="90"/>
      <c r="AU75" s="90"/>
      <c r="AV75" s="90"/>
      <c r="AW75" s="90"/>
      <c r="AX75" s="90"/>
      <c r="AY75" s="90"/>
      <c r="AZ75" s="90"/>
      <c r="BA75" s="90"/>
      <c r="BB75" s="90"/>
      <c r="BC75" s="90"/>
      <c r="BD75" s="90"/>
      <c r="BE75" s="90"/>
      <c r="BF75" s="90"/>
      <c r="BG75" s="90"/>
      <c r="BH75" s="90"/>
    </row>
    <row r="76" spans="1:60" ht="18" customHeight="1" x14ac:dyDescent="0.25">
      <c r="D76" s="312" t="s">
        <v>83</v>
      </c>
      <c r="E76" s="312"/>
      <c r="F76" s="312"/>
      <c r="G76" s="312"/>
      <c r="H76" s="312"/>
      <c r="I76" s="51"/>
      <c r="J76" s="51"/>
      <c r="K76" s="55"/>
      <c r="Y76" s="61"/>
      <c r="Z76" s="61"/>
      <c r="AA76" s="90"/>
      <c r="AB76" s="90"/>
      <c r="AC76" s="90"/>
      <c r="AD76" s="90"/>
      <c r="AE76" s="90"/>
      <c r="AF76" s="90"/>
      <c r="AG76" s="90"/>
      <c r="AH76" s="90"/>
      <c r="AI76" s="90"/>
      <c r="AJ76" s="90"/>
      <c r="AK76" s="90"/>
      <c r="AL76" s="90"/>
      <c r="AM76" s="90"/>
      <c r="AN76" s="90"/>
      <c r="AO76" s="90"/>
      <c r="AP76" s="90"/>
      <c r="AQ76" s="90"/>
      <c r="AR76" s="90"/>
      <c r="AS76" s="90"/>
      <c r="AT76" s="90"/>
      <c r="AU76" s="90"/>
      <c r="AV76" s="90"/>
      <c r="AW76" s="90"/>
      <c r="AX76" s="90"/>
      <c r="AY76" s="90"/>
      <c r="AZ76" s="90"/>
      <c r="BA76" s="90"/>
      <c r="BB76" s="90"/>
      <c r="BC76" s="90"/>
      <c r="BD76" s="90"/>
      <c r="BE76" s="90"/>
      <c r="BF76" s="90"/>
      <c r="BG76" s="90"/>
      <c r="BH76" s="90"/>
    </row>
    <row r="77" spans="1:60" ht="18" customHeight="1" x14ac:dyDescent="0.25">
      <c r="H77" s="10"/>
      <c r="I77" s="51"/>
      <c r="J77" s="51"/>
      <c r="K77" s="56"/>
      <c r="Y77" s="61"/>
      <c r="Z77" s="61"/>
      <c r="AA77" s="90"/>
      <c r="AB77" s="90"/>
      <c r="AC77" s="90"/>
      <c r="AD77" s="90"/>
      <c r="AE77" s="90"/>
      <c r="AF77" s="90"/>
      <c r="AG77" s="90"/>
      <c r="AH77" s="90"/>
      <c r="AI77" s="90"/>
      <c r="AJ77" s="90"/>
      <c r="AK77" s="90"/>
      <c r="AL77" s="90"/>
      <c r="AM77" s="90"/>
      <c r="AN77" s="90"/>
      <c r="AO77" s="90"/>
      <c r="AP77" s="90"/>
      <c r="AQ77" s="90"/>
      <c r="AR77" s="90"/>
      <c r="AS77" s="90"/>
      <c r="AT77" s="90"/>
      <c r="AU77" s="90"/>
      <c r="AV77" s="90"/>
      <c r="AW77" s="90"/>
      <c r="AX77" s="90"/>
      <c r="AY77" s="90"/>
      <c r="AZ77" s="90"/>
      <c r="BA77" s="90"/>
      <c r="BB77" s="90"/>
      <c r="BC77" s="90"/>
      <c r="BD77" s="90"/>
      <c r="BE77" s="90"/>
      <c r="BF77" s="90"/>
      <c r="BG77" s="90"/>
      <c r="BH77" s="90"/>
    </row>
    <row r="78" spans="1:60" ht="18" customHeight="1" x14ac:dyDescent="0.2">
      <c r="D78" s="304" t="s">
        <v>84</v>
      </c>
      <c r="E78" s="305"/>
      <c r="F78" s="306"/>
      <c r="G78" s="294">
        <f>J41+L69</f>
        <v>200000</v>
      </c>
      <c r="H78" s="295"/>
      <c r="I78" s="57"/>
      <c r="J78" s="52"/>
      <c r="K78" s="287" t="s">
        <v>85</v>
      </c>
      <c r="L78" s="287"/>
      <c r="M78" s="287"/>
      <c r="N78" s="287"/>
      <c r="O78" s="287"/>
      <c r="P78" s="287"/>
      <c r="Q78" s="287"/>
      <c r="R78" s="287"/>
      <c r="S78" s="287"/>
      <c r="T78" s="287"/>
      <c r="U78" s="287"/>
      <c r="V78" s="287"/>
      <c r="W78" s="287"/>
      <c r="X78" s="287"/>
      <c r="Y78" s="52"/>
      <c r="Z78" s="61"/>
      <c r="AA78" s="90"/>
      <c r="AB78" s="90"/>
      <c r="AC78" s="90"/>
      <c r="AD78" s="90"/>
      <c r="AE78" s="90"/>
      <c r="AF78" s="90"/>
      <c r="AG78" s="90"/>
      <c r="AH78" s="90"/>
      <c r="AI78" s="90"/>
      <c r="AJ78" s="90"/>
      <c r="AK78" s="90"/>
      <c r="AL78" s="90"/>
      <c r="AM78" s="90"/>
      <c r="AN78" s="90"/>
      <c r="AO78" s="90"/>
      <c r="AP78" s="90"/>
      <c r="AQ78" s="90"/>
      <c r="AR78" s="90"/>
      <c r="AS78" s="90"/>
      <c r="AT78" s="90"/>
      <c r="AU78" s="90"/>
      <c r="AV78" s="90"/>
      <c r="AW78" s="90"/>
      <c r="AX78" s="90"/>
      <c r="AY78" s="90"/>
      <c r="AZ78" s="90"/>
      <c r="BA78" s="90"/>
      <c r="BB78" s="90"/>
      <c r="BC78" s="90"/>
      <c r="BD78" s="90"/>
      <c r="BE78" s="90"/>
      <c r="BF78" s="90"/>
      <c r="BG78" s="90"/>
      <c r="BH78" s="90"/>
    </row>
    <row r="79" spans="1:60" ht="18" customHeight="1" x14ac:dyDescent="0.2">
      <c r="D79" s="304" t="s">
        <v>86</v>
      </c>
      <c r="E79" s="305"/>
      <c r="F79" s="306"/>
      <c r="G79" s="294">
        <f>L41+L69</f>
        <v>200000</v>
      </c>
      <c r="H79" s="295"/>
      <c r="I79" s="57"/>
      <c r="J79" s="52"/>
      <c r="K79" s="287"/>
      <c r="L79" s="287"/>
      <c r="M79" s="287"/>
      <c r="N79" s="287"/>
      <c r="O79" s="287"/>
      <c r="P79" s="287"/>
      <c r="Q79" s="287"/>
      <c r="R79" s="287"/>
      <c r="S79" s="287"/>
      <c r="T79" s="287"/>
      <c r="U79" s="287"/>
      <c r="V79" s="287"/>
      <c r="W79" s="287"/>
      <c r="X79" s="287"/>
      <c r="Y79" s="52"/>
      <c r="Z79" s="61"/>
      <c r="AA79" s="90"/>
      <c r="AB79" s="90"/>
      <c r="AC79" s="90"/>
      <c r="AD79" s="90"/>
      <c r="AE79" s="90"/>
      <c r="AF79" s="90"/>
      <c r="AG79" s="90"/>
      <c r="AH79" s="90"/>
      <c r="AI79" s="90"/>
      <c r="AJ79" s="90"/>
      <c r="AK79" s="90"/>
      <c r="AL79" s="90"/>
      <c r="AM79" s="90"/>
      <c r="AN79" s="90"/>
      <c r="AO79" s="90"/>
      <c r="AP79" s="90"/>
      <c r="AQ79" s="90"/>
      <c r="AR79" s="90"/>
      <c r="AS79" s="90"/>
      <c r="AT79" s="90"/>
      <c r="AU79" s="90"/>
      <c r="AV79" s="90"/>
      <c r="AW79" s="90"/>
      <c r="AX79" s="90"/>
      <c r="AY79" s="90"/>
      <c r="AZ79" s="90"/>
      <c r="BA79" s="90"/>
      <c r="BB79" s="90"/>
      <c r="BC79" s="90"/>
      <c r="BD79" s="90"/>
      <c r="BE79" s="90"/>
      <c r="BF79" s="90"/>
      <c r="BG79" s="90"/>
      <c r="BH79" s="90"/>
    </row>
    <row r="80" spans="1:60" ht="27" customHeight="1" x14ac:dyDescent="0.2">
      <c r="D80" s="301" t="s">
        <v>87</v>
      </c>
      <c r="E80" s="302"/>
      <c r="F80" s="303"/>
      <c r="G80" s="91">
        <f>IFERROR(ROUND(H80/G78,3),"n/a")</f>
        <v>0</v>
      </c>
      <c r="H80" s="131">
        <f>G78-G79</f>
        <v>0</v>
      </c>
      <c r="I80" s="58"/>
      <c r="J80" s="52"/>
      <c r="K80" s="287"/>
      <c r="L80" s="287"/>
      <c r="M80" s="287"/>
      <c r="N80" s="287"/>
      <c r="O80" s="287"/>
      <c r="P80" s="287"/>
      <c r="Q80" s="287"/>
      <c r="R80" s="287"/>
      <c r="S80" s="287"/>
      <c r="T80" s="287"/>
      <c r="U80" s="287"/>
      <c r="V80" s="287"/>
      <c r="W80" s="287"/>
      <c r="X80" s="287"/>
      <c r="Y80" s="52"/>
      <c r="Z80" s="61"/>
      <c r="AA80" s="90"/>
      <c r="AB80" s="90"/>
      <c r="AC80" s="90"/>
      <c r="AD80" s="90"/>
      <c r="AE80" s="90"/>
      <c r="AF80" s="90"/>
      <c r="AG80" s="90"/>
      <c r="AH80" s="90"/>
      <c r="AI80" s="90"/>
      <c r="AJ80" s="90"/>
      <c r="AK80" s="90"/>
      <c r="AL80" s="90"/>
      <c r="AM80" s="90"/>
      <c r="AN80" s="90"/>
      <c r="AO80" s="90"/>
      <c r="AP80" s="90"/>
      <c r="AQ80" s="90"/>
      <c r="AR80" s="90"/>
      <c r="AS80" s="90"/>
      <c r="AT80" s="90"/>
      <c r="AU80" s="90"/>
      <c r="AV80" s="90"/>
      <c r="AW80" s="90"/>
      <c r="AX80" s="90"/>
      <c r="AY80" s="90"/>
      <c r="AZ80" s="90"/>
      <c r="BA80" s="90"/>
      <c r="BB80" s="90"/>
      <c r="BC80" s="90"/>
      <c r="BD80" s="90"/>
      <c r="BE80" s="90"/>
      <c r="BF80" s="90"/>
      <c r="BG80" s="90"/>
      <c r="BH80" s="90"/>
    </row>
    <row r="81" spans="1:60" ht="13" customHeight="1" x14ac:dyDescent="0.2">
      <c r="D81" s="307" t="s">
        <v>88</v>
      </c>
      <c r="E81" s="308"/>
      <c r="F81" s="309"/>
      <c r="G81" s="138"/>
      <c r="H81" s="139"/>
      <c r="I81" s="58"/>
      <c r="J81" s="52"/>
      <c r="K81" s="287"/>
      <c r="L81" s="287"/>
      <c r="M81" s="287"/>
      <c r="N81" s="287"/>
      <c r="O81" s="287"/>
      <c r="P81" s="287"/>
      <c r="Q81" s="287"/>
      <c r="R81" s="287"/>
      <c r="S81" s="287"/>
      <c r="T81" s="287"/>
      <c r="U81" s="287"/>
      <c r="V81" s="287"/>
      <c r="W81" s="287"/>
      <c r="X81" s="287"/>
      <c r="Y81" s="52"/>
      <c r="Z81" s="61"/>
      <c r="AA81" s="90"/>
      <c r="AB81" s="90"/>
      <c r="AC81" s="90"/>
      <c r="AD81" s="90"/>
      <c r="AE81" s="90"/>
      <c r="AF81" s="90"/>
      <c r="AG81" s="90"/>
      <c r="AH81" s="90"/>
      <c r="AI81" s="90"/>
      <c r="AJ81" s="90"/>
      <c r="AK81" s="90"/>
      <c r="AL81" s="90"/>
      <c r="AM81" s="90"/>
      <c r="AN81" s="90"/>
      <c r="AO81" s="90"/>
      <c r="AP81" s="90"/>
      <c r="AQ81" s="90"/>
      <c r="AR81" s="90"/>
      <c r="AS81" s="90"/>
      <c r="AT81" s="90"/>
      <c r="AU81" s="90"/>
      <c r="AV81" s="90"/>
      <c r="AW81" s="90"/>
      <c r="AX81" s="90"/>
      <c r="AY81" s="90"/>
      <c r="AZ81" s="90"/>
      <c r="BA81" s="90"/>
      <c r="BB81" s="90"/>
      <c r="BC81" s="90"/>
      <c r="BD81" s="90"/>
      <c r="BE81" s="90"/>
      <c r="BF81" s="90"/>
      <c r="BG81" s="90"/>
      <c r="BH81" s="90"/>
    </row>
    <row r="82" spans="1:60" ht="17.25" customHeight="1" x14ac:dyDescent="0.2">
      <c r="D82" s="298" t="s">
        <v>89</v>
      </c>
      <c r="E82" s="299"/>
      <c r="F82" s="300"/>
      <c r="G82" s="88">
        <f>IFERROR(ROUND(H82/G79,3),"n/a")</f>
        <v>0.01</v>
      </c>
      <c r="H82" s="130">
        <f>P41+(L69-P69)</f>
        <v>2000</v>
      </c>
      <c r="I82" s="59"/>
      <c r="J82" s="52"/>
      <c r="K82" s="287"/>
      <c r="L82" s="287"/>
      <c r="M82" s="287"/>
      <c r="N82" s="287"/>
      <c r="O82" s="287"/>
      <c r="P82" s="287"/>
      <c r="Q82" s="287"/>
      <c r="R82" s="287"/>
      <c r="S82" s="287"/>
      <c r="T82" s="287"/>
      <c r="U82" s="287"/>
      <c r="V82" s="287"/>
      <c r="W82" s="287"/>
      <c r="X82" s="287"/>
      <c r="Y82" s="52"/>
      <c r="Z82" s="61"/>
      <c r="AA82" s="90"/>
      <c r="AB82" s="90"/>
      <c r="AC82" s="90"/>
      <c r="AD82" s="90"/>
      <c r="AE82" s="90"/>
      <c r="AF82" s="90"/>
      <c r="AG82" s="90"/>
      <c r="AH82" s="90"/>
      <c r="AI82" s="90"/>
      <c r="AJ82" s="90"/>
      <c r="AK82" s="90"/>
      <c r="AL82" s="90"/>
      <c r="AM82" s="90"/>
      <c r="AN82" s="90"/>
      <c r="AO82" s="90"/>
      <c r="AP82" s="90"/>
      <c r="AQ82" s="90"/>
      <c r="AR82" s="90"/>
      <c r="AS82" s="90"/>
      <c r="AT82" s="90"/>
      <c r="AU82" s="90"/>
      <c r="AV82" s="90"/>
      <c r="AW82" s="90"/>
      <c r="AX82" s="90"/>
      <c r="AY82" s="90"/>
      <c r="AZ82" s="90"/>
      <c r="BA82" s="90"/>
      <c r="BB82" s="90"/>
      <c r="BC82" s="90"/>
      <c r="BD82" s="90"/>
      <c r="BE82" s="90"/>
      <c r="BF82" s="90"/>
      <c r="BG82" s="90"/>
      <c r="BH82" s="90"/>
    </row>
    <row r="83" spans="1:60" ht="17.25" customHeight="1" x14ac:dyDescent="0.2">
      <c r="D83" s="298" t="s">
        <v>90</v>
      </c>
      <c r="E83" s="299"/>
      <c r="F83" s="300"/>
      <c r="G83" s="88">
        <f>IF(S6=TRUE,S5,IF(T6=TRUE,T5,IF(U6=TRUE,U5,IF(V6=TRUE,V5,IF(W6=TRUE,W5,IF(X6=TRUE,X5,"n/a"))))))</f>
        <v>0.06</v>
      </c>
      <c r="H83" s="130">
        <f>IFERROR(ROUND((SUM(L15:L40)-SUMIF(E15:E40,"*Specticle*FLO*",L15:L40))*$G$83,2),"n/a")</f>
        <v>0</v>
      </c>
      <c r="I83" s="59"/>
      <c r="J83" s="52"/>
      <c r="K83" s="287"/>
      <c r="L83" s="287"/>
      <c r="M83" s="287"/>
      <c r="N83" s="287"/>
      <c r="O83" s="287"/>
      <c r="P83" s="287"/>
      <c r="Q83" s="287"/>
      <c r="R83" s="287"/>
      <c r="S83" s="287"/>
      <c r="T83" s="287"/>
      <c r="U83" s="287"/>
      <c r="V83" s="287"/>
      <c r="W83" s="287"/>
      <c r="X83" s="287"/>
      <c r="Y83" s="52"/>
      <c r="Z83" s="61"/>
      <c r="AA83" s="90"/>
      <c r="AB83" s="90"/>
      <c r="AC83" s="90"/>
      <c r="AD83" s="90"/>
      <c r="AE83" s="90"/>
      <c r="AF83" s="90"/>
      <c r="AG83" s="90"/>
      <c r="AH83" s="90"/>
      <c r="AI83" s="90"/>
      <c r="AJ83" s="90"/>
      <c r="AK83" s="90"/>
      <c r="AL83" s="90"/>
      <c r="AM83" s="90"/>
      <c r="AN83" s="90"/>
      <c r="AO83" s="90"/>
      <c r="AP83" s="90"/>
      <c r="AQ83" s="90"/>
      <c r="AR83" s="90"/>
      <c r="AS83" s="90"/>
      <c r="AT83" s="90"/>
      <c r="AU83" s="90"/>
      <c r="AV83" s="90"/>
      <c r="AW83" s="90"/>
      <c r="AX83" s="90"/>
      <c r="AY83" s="90"/>
      <c r="AZ83" s="90"/>
      <c r="BA83" s="90"/>
      <c r="BB83" s="90"/>
      <c r="BC83" s="90"/>
      <c r="BD83" s="90"/>
      <c r="BE83" s="90"/>
      <c r="BF83" s="90"/>
      <c r="BG83" s="90"/>
      <c r="BH83" s="90"/>
    </row>
    <row r="84" spans="1:60" ht="17.25" customHeight="1" x14ac:dyDescent="0.2">
      <c r="D84" s="298" t="s">
        <v>91</v>
      </c>
      <c r="E84" s="299"/>
      <c r="F84" s="300"/>
      <c r="G84" s="88" t="str">
        <f>S9</f>
        <v>n/a</v>
      </c>
      <c r="H84" s="130" t="str">
        <f>IFERROR(ROUND((SUM(L15:L40)-SUMIF(E15:E40,"*Specticle*FLO*",L15:L40))*$G$84,2),"n/a")</f>
        <v>n/a</v>
      </c>
      <c r="I84" s="59"/>
      <c r="J84" s="60"/>
      <c r="K84" s="140"/>
      <c r="L84" s="140"/>
      <c r="M84" s="140"/>
      <c r="N84" s="140"/>
      <c r="O84" s="140"/>
      <c r="P84" s="140"/>
      <c r="Q84" s="140"/>
      <c r="R84" s="140"/>
      <c r="S84" s="140"/>
      <c r="T84" s="140"/>
      <c r="U84" s="140"/>
      <c r="V84" s="140"/>
      <c r="W84" s="140"/>
      <c r="Y84" s="52"/>
      <c r="Z84" s="61"/>
      <c r="AA84" s="90"/>
      <c r="AB84" s="90"/>
      <c r="AC84" s="90"/>
      <c r="AD84" s="90"/>
      <c r="AE84" s="90"/>
      <c r="AF84" s="90"/>
      <c r="AG84" s="90"/>
      <c r="AH84" s="90"/>
      <c r="AI84" s="90"/>
      <c r="AJ84" s="90"/>
      <c r="AK84" s="90"/>
      <c r="AL84" s="90"/>
      <c r="AM84" s="90"/>
      <c r="AN84" s="90"/>
      <c r="AO84" s="90"/>
      <c r="AP84" s="90"/>
      <c r="AQ84" s="90"/>
      <c r="AR84" s="90"/>
      <c r="AS84" s="90"/>
      <c r="AT84" s="90"/>
      <c r="AU84" s="90"/>
      <c r="AV84" s="90"/>
      <c r="AW84" s="90"/>
      <c r="AX84" s="90"/>
      <c r="AY84" s="90"/>
      <c r="AZ84" s="90"/>
      <c r="BA84" s="90"/>
      <c r="BB84" s="90"/>
      <c r="BC84" s="90"/>
      <c r="BD84" s="90"/>
      <c r="BE84" s="90"/>
      <c r="BF84" s="90"/>
      <c r="BG84" s="90"/>
      <c r="BH84" s="90"/>
    </row>
    <row r="85" spans="1:60" s="16" customFormat="1" ht="17.25" customHeight="1" x14ac:dyDescent="0.2">
      <c r="A85" s="10"/>
      <c r="B85" s="10"/>
      <c r="C85" s="10"/>
      <c r="D85" s="298" t="s">
        <v>92</v>
      </c>
      <c r="E85" s="299"/>
      <c r="F85" s="300"/>
      <c r="G85" s="88" t="str">
        <f>V9</f>
        <v>n/a</v>
      </c>
      <c r="H85" s="130" t="str">
        <f>IFERROR(ROUND((SUM(L15:L40)-SUMIF(E15:E40,"*Specticle*FLO*",L15:L40))*$G$85,2),"n/a")</f>
        <v>n/a</v>
      </c>
      <c r="I85" s="59"/>
      <c r="K85" s="140"/>
      <c r="L85" s="140"/>
      <c r="M85" s="140"/>
      <c r="N85" s="140"/>
      <c r="O85" s="140"/>
      <c r="P85" s="140"/>
      <c r="Q85" s="140"/>
      <c r="R85" s="140"/>
      <c r="S85" s="140"/>
      <c r="T85" s="140"/>
      <c r="U85" s="140"/>
      <c r="V85" s="140"/>
      <c r="Y85" s="52"/>
      <c r="AA85" s="90"/>
      <c r="AB85" s="90"/>
      <c r="AC85" s="90"/>
      <c r="AD85" s="90"/>
      <c r="AE85" s="90"/>
      <c r="AF85" s="90"/>
      <c r="AG85" s="90"/>
      <c r="AH85" s="90"/>
      <c r="AI85" s="92"/>
      <c r="AJ85" s="92"/>
      <c r="AK85" s="92"/>
      <c r="AL85" s="92"/>
      <c r="AM85" s="92"/>
      <c r="AN85" s="92"/>
      <c r="AO85" s="92"/>
      <c r="AP85" s="92"/>
      <c r="AQ85" s="92"/>
      <c r="AR85" s="92"/>
      <c r="AS85" s="92"/>
      <c r="AT85" s="92"/>
      <c r="AU85" s="92"/>
      <c r="AV85" s="92"/>
      <c r="AW85" s="92"/>
      <c r="AX85" s="92"/>
      <c r="AY85" s="92"/>
      <c r="AZ85" s="92"/>
      <c r="BA85" s="92"/>
      <c r="BB85" s="92"/>
      <c r="BC85" s="92"/>
      <c r="BD85" s="92"/>
      <c r="BE85" s="92"/>
      <c r="BF85" s="92"/>
      <c r="BG85" s="92"/>
      <c r="BH85" s="92"/>
    </row>
    <row r="86" spans="1:60" s="16" customFormat="1" ht="17.25" customHeight="1" x14ac:dyDescent="0.2">
      <c r="A86" s="10"/>
      <c r="B86" s="10"/>
      <c r="C86" s="10"/>
      <c r="D86" s="298" t="s">
        <v>93</v>
      </c>
      <c r="E86" s="299"/>
      <c r="F86" s="300"/>
      <c r="G86" s="88">
        <f>IF(L41+L69&gt;5000,IF(R10="Yes",2%,"n/a"),"n/a")</f>
        <v>0.02</v>
      </c>
      <c r="H86" s="130" t="str" cm="1">
        <f t="array" ref="H86">_xlfn.LET(
    _xlpm.v,
    ROUND(
        SUM(
            _xlfn._xlws.FILTER(
                L15:L40,
                (_xlfn.XLOOKUP(A15:A40,PRICING[SKU],PRICING[October Bonus],FALSE)=TRUE)
            )
        )*$G$86,
        2
    ),
    IFERROR(IF(_xlpm.v=0,"n/a",_xlpm.v),"n/a")
)</f>
        <v>n/a</v>
      </c>
      <c r="I86" s="59"/>
      <c r="K86" s="140"/>
      <c r="L86" s="140"/>
      <c r="M86" s="140"/>
      <c r="N86" s="140"/>
      <c r="O86" s="140"/>
      <c r="P86" s="140"/>
      <c r="Q86" s="140"/>
      <c r="R86" s="140"/>
      <c r="S86" s="140"/>
      <c r="T86" s="140"/>
      <c r="U86" s="140"/>
      <c r="V86" s="140"/>
      <c r="AA86" s="90"/>
      <c r="AB86" s="90"/>
      <c r="AC86" s="90"/>
      <c r="AD86" s="90"/>
      <c r="AE86" s="90"/>
      <c r="AF86" s="90"/>
      <c r="AG86" s="90"/>
      <c r="AH86" s="90"/>
      <c r="AI86" s="92"/>
      <c r="AJ86" s="92"/>
      <c r="AK86" s="92"/>
      <c r="AL86" s="92"/>
      <c r="AM86" s="92"/>
      <c r="AN86" s="92"/>
      <c r="AO86" s="92"/>
      <c r="AP86" s="92"/>
      <c r="AQ86" s="92"/>
      <c r="AR86" s="92"/>
      <c r="AS86" s="92"/>
      <c r="AT86" s="92"/>
      <c r="AU86" s="92"/>
      <c r="AV86" s="92"/>
      <c r="AW86" s="92"/>
      <c r="AX86" s="92"/>
      <c r="AY86" s="92"/>
      <c r="AZ86" s="92"/>
      <c r="BA86" s="92"/>
      <c r="BB86" s="92"/>
      <c r="BC86" s="92"/>
      <c r="BD86" s="92"/>
      <c r="BE86" s="92"/>
      <c r="BF86" s="92"/>
      <c r="BG86" s="92"/>
      <c r="BH86" s="92"/>
    </row>
    <row r="87" spans="1:60" s="16" customFormat="1" ht="21.75" customHeight="1" x14ac:dyDescent="0.2">
      <c r="A87" s="10"/>
      <c r="B87" s="10"/>
      <c r="C87" s="10"/>
      <c r="D87" s="301" t="s">
        <v>94</v>
      </c>
      <c r="E87" s="302"/>
      <c r="F87" s="303"/>
      <c r="G87" s="91">
        <f>SUM(G82:G86)</f>
        <v>0.09</v>
      </c>
      <c r="H87" s="131">
        <f>SUM(H82:H86)</f>
        <v>2000</v>
      </c>
      <c r="I87" s="17"/>
      <c r="K87" s="140"/>
      <c r="L87" s="140"/>
      <c r="M87" s="140"/>
      <c r="N87" s="140"/>
      <c r="O87" s="140"/>
      <c r="P87" s="140"/>
      <c r="Q87" s="140"/>
      <c r="R87" s="140"/>
      <c r="S87" s="140"/>
      <c r="T87" s="140"/>
      <c r="U87" s="140"/>
      <c r="V87" s="140"/>
      <c r="AA87" s="90"/>
      <c r="AB87" s="90"/>
      <c r="AC87" s="90"/>
      <c r="AD87" s="90"/>
      <c r="AE87" s="90"/>
      <c r="AF87" s="90"/>
      <c r="AG87" s="90"/>
      <c r="AH87" s="90"/>
      <c r="AI87" s="92"/>
      <c r="AJ87" s="92"/>
      <c r="AK87" s="92"/>
      <c r="AL87" s="92"/>
      <c r="AM87" s="92"/>
      <c r="AN87" s="92"/>
      <c r="AO87" s="92"/>
      <c r="AP87" s="92"/>
      <c r="AQ87" s="92"/>
      <c r="AR87" s="92"/>
      <c r="AS87" s="92"/>
      <c r="AT87" s="92"/>
      <c r="AU87" s="92"/>
      <c r="AV87" s="92"/>
      <c r="AW87" s="92"/>
      <c r="AX87" s="92"/>
      <c r="AY87" s="92"/>
      <c r="AZ87" s="92"/>
      <c r="BA87" s="92"/>
      <c r="BB87" s="92"/>
      <c r="BC87" s="92"/>
      <c r="BD87" s="92"/>
      <c r="BE87" s="92"/>
      <c r="BF87" s="92"/>
      <c r="BG87" s="92"/>
      <c r="BH87" s="92"/>
    </row>
    <row r="88" spans="1:60" s="16" customFormat="1" ht="24" customHeight="1" x14ac:dyDescent="0.2">
      <c r="A88" s="10"/>
      <c r="B88" s="10"/>
      <c r="C88" s="10"/>
      <c r="D88" s="288" t="s">
        <v>95</v>
      </c>
      <c r="E88" s="289"/>
      <c r="F88" s="290"/>
      <c r="G88" s="88">
        <f>IFERROR(ROUND(H88/G79,3),"n/a")</f>
        <v>0.01</v>
      </c>
      <c r="H88" s="130">
        <f>H87+H80</f>
        <v>2000</v>
      </c>
      <c r="I88" s="59"/>
      <c r="K88" s="140"/>
      <c r="L88" s="140"/>
      <c r="M88" s="140"/>
      <c r="N88" s="140"/>
      <c r="O88" s="140"/>
      <c r="P88" s="140"/>
      <c r="Q88" s="140"/>
      <c r="R88" s="140"/>
      <c r="S88" s="140"/>
      <c r="T88" s="140"/>
      <c r="U88" s="140"/>
      <c r="V88" s="140"/>
      <c r="Y88" s="54"/>
      <c r="Z88" s="54"/>
      <c r="AA88" s="90"/>
      <c r="AB88" s="90"/>
      <c r="AC88" s="90"/>
      <c r="AD88" s="90"/>
      <c r="AE88" s="90"/>
      <c r="AF88" s="90"/>
      <c r="AG88" s="90"/>
      <c r="AH88" s="90"/>
      <c r="AI88" s="92"/>
      <c r="AJ88" s="92"/>
      <c r="AK88" s="92"/>
      <c r="AL88" s="92"/>
      <c r="AM88" s="92"/>
      <c r="AN88" s="92"/>
      <c r="AO88" s="92"/>
      <c r="AP88" s="92"/>
      <c r="AQ88" s="92"/>
      <c r="AR88" s="92"/>
      <c r="AS88" s="92"/>
      <c r="AT88" s="92"/>
      <c r="AU88" s="92"/>
      <c r="AV88" s="92"/>
      <c r="AW88" s="92"/>
      <c r="AX88" s="92"/>
      <c r="AY88" s="92"/>
      <c r="AZ88" s="92"/>
      <c r="BA88" s="92"/>
      <c r="BB88" s="92"/>
      <c r="BC88" s="92"/>
      <c r="BD88" s="92"/>
      <c r="BE88" s="92"/>
      <c r="BF88" s="92"/>
      <c r="BG88" s="92"/>
      <c r="BH88" s="92"/>
    </row>
    <row r="89" spans="1:60" s="16" customFormat="1" ht="24" customHeight="1" x14ac:dyDescent="0.2">
      <c r="A89" s="10"/>
      <c r="B89" s="10"/>
      <c r="C89" s="10"/>
      <c r="D89" s="291" t="s">
        <v>96</v>
      </c>
      <c r="E89" s="292"/>
      <c r="F89" s="293"/>
      <c r="G89" s="296">
        <f>G79-H87</f>
        <v>198000</v>
      </c>
      <c r="H89" s="297"/>
      <c r="I89" s="17"/>
      <c r="K89" s="52"/>
      <c r="L89" s="52"/>
      <c r="M89" s="52"/>
      <c r="N89" s="52"/>
      <c r="O89" s="52"/>
      <c r="P89" s="52"/>
      <c r="Q89" s="52"/>
      <c r="R89" s="52"/>
      <c r="S89" s="52"/>
      <c r="T89" s="52"/>
      <c r="U89" s="52"/>
      <c r="V89" s="52"/>
      <c r="Y89" s="52"/>
      <c r="Z89" s="52"/>
      <c r="AA89" s="90"/>
      <c r="AB89" s="90"/>
      <c r="AC89" s="90"/>
      <c r="AD89" s="90"/>
      <c r="AE89" s="90"/>
      <c r="AF89" s="90"/>
      <c r="AG89" s="90"/>
      <c r="AH89" s="90"/>
      <c r="AI89" s="92"/>
      <c r="AJ89" s="92"/>
      <c r="AK89" s="92"/>
      <c r="AL89" s="92"/>
      <c r="AM89" s="92"/>
      <c r="AN89" s="92"/>
      <c r="AO89" s="92"/>
      <c r="AP89" s="92"/>
      <c r="AQ89" s="92"/>
      <c r="AR89" s="92"/>
      <c r="AS89" s="92"/>
      <c r="AT89" s="92"/>
      <c r="AU89" s="92"/>
      <c r="AV89" s="92"/>
      <c r="AW89" s="92"/>
      <c r="AX89" s="92"/>
      <c r="AY89" s="92"/>
      <c r="AZ89" s="92"/>
      <c r="BA89" s="92"/>
      <c r="BB89" s="92"/>
      <c r="BC89" s="92"/>
      <c r="BD89" s="92"/>
      <c r="BE89" s="92"/>
      <c r="BF89" s="92"/>
      <c r="BG89" s="92"/>
      <c r="BH89" s="92"/>
    </row>
    <row r="90" spans="1:60" s="16" customFormat="1" ht="13" customHeight="1" thickBot="1" x14ac:dyDescent="0.25">
      <c r="A90" s="17"/>
      <c r="B90" s="17"/>
      <c r="C90" s="17"/>
      <c r="D90" s="17"/>
      <c r="E90" s="17"/>
      <c r="F90" s="17"/>
      <c r="G90" s="17"/>
      <c r="H90" s="17"/>
      <c r="I90" s="17"/>
      <c r="J90" s="17"/>
      <c r="Y90" s="61"/>
      <c r="Z90" s="61"/>
      <c r="AA90" s="90"/>
      <c r="AB90" s="90"/>
      <c r="AC90" s="90"/>
      <c r="AD90" s="90"/>
      <c r="AE90" s="90"/>
      <c r="AF90" s="90"/>
      <c r="AG90" s="90"/>
      <c r="AH90" s="90"/>
      <c r="AI90" s="92"/>
      <c r="AJ90" s="92"/>
      <c r="AK90" s="92"/>
      <c r="AL90" s="92"/>
      <c r="AM90" s="92"/>
      <c r="AN90" s="92"/>
      <c r="AO90" s="92"/>
      <c r="AP90" s="92"/>
      <c r="AQ90" s="92"/>
      <c r="AR90" s="92"/>
      <c r="AS90" s="92"/>
      <c r="AT90" s="92"/>
      <c r="AU90" s="92"/>
      <c r="AV90" s="92"/>
      <c r="AW90" s="92"/>
      <c r="AX90" s="92"/>
      <c r="AY90" s="92"/>
      <c r="AZ90" s="92"/>
      <c r="BA90" s="92"/>
      <c r="BB90" s="92"/>
      <c r="BC90" s="92"/>
      <c r="BD90" s="92"/>
      <c r="BE90" s="92"/>
      <c r="BF90" s="92"/>
      <c r="BG90" s="92"/>
      <c r="BH90" s="92"/>
    </row>
    <row r="91" spans="1:60" s="16" customFormat="1" ht="23" customHeight="1" thickBot="1" x14ac:dyDescent="0.25">
      <c r="A91" s="10"/>
      <c r="B91" s="10"/>
      <c r="C91" s="10"/>
      <c r="D91" s="282" t="str">
        <f>CONCATENATE("Estimated Envu Horizon points to be earned: ",TEXT(IF(AND(H87 &lt;&gt;"", H87 &gt; 0),H87*100, 0),"#,##0"))</f>
        <v>Estimated Envu Horizon points to be earned: 200,000</v>
      </c>
      <c r="E91" s="283"/>
      <c r="F91" s="283"/>
      <c r="G91" s="283"/>
      <c r="H91" s="284"/>
      <c r="J91" s="17"/>
      <c r="K91" s="17"/>
      <c r="L91" s="52"/>
      <c r="M91" s="52"/>
      <c r="N91" s="52"/>
      <c r="O91" s="52"/>
      <c r="P91" s="52"/>
      <c r="Q91" s="52"/>
      <c r="R91" s="52"/>
      <c r="S91" s="52"/>
      <c r="T91" s="52"/>
      <c r="U91" s="52"/>
      <c r="V91" s="52"/>
      <c r="W91" s="52"/>
      <c r="Y91" s="52"/>
      <c r="Z91" s="61"/>
      <c r="AA91" s="90"/>
      <c r="AB91" s="90"/>
      <c r="AC91" s="90"/>
      <c r="AD91" s="90"/>
      <c r="AE91" s="90"/>
      <c r="AF91" s="90"/>
      <c r="AG91" s="90"/>
      <c r="AH91" s="90"/>
      <c r="AI91" s="92"/>
      <c r="AJ91" s="92"/>
      <c r="AK91" s="92"/>
      <c r="AL91" s="92"/>
      <c r="AM91" s="92"/>
      <c r="AN91" s="92"/>
      <c r="AO91" s="92"/>
      <c r="AP91" s="92"/>
      <c r="AQ91" s="92"/>
      <c r="AR91" s="92"/>
      <c r="AS91" s="92"/>
      <c r="AT91" s="92"/>
      <c r="AU91" s="92"/>
      <c r="AV91" s="92"/>
      <c r="AW91" s="92"/>
      <c r="AX91" s="92"/>
      <c r="AY91" s="92"/>
      <c r="AZ91" s="92"/>
      <c r="BA91" s="92"/>
      <c r="BB91" s="92"/>
      <c r="BC91" s="92"/>
      <c r="BD91" s="92"/>
      <c r="BE91" s="92"/>
      <c r="BF91" s="92"/>
      <c r="BG91" s="92"/>
      <c r="BH91" s="92"/>
    </row>
  </sheetData>
  <sheetProtection algorithmName="SHA-512" hashValue="Tjic3aswDO5nIIoQ6NZqEurAjPAsPVDmdjGJ+btat6LB5wtwEPWL/k9/HnUWsxjSsn+UQXRTQlXfWogo/jjF9Q==" saltValue="6gd+mkWEiRuNw/Ib3a0plA==" spinCount="100000" sheet="1" selectLockedCells="1"/>
  <mergeCells count="52">
    <mergeCell ref="S4:T4"/>
    <mergeCell ref="S5:T5"/>
    <mergeCell ref="V9:X9"/>
    <mergeCell ref="S9:U9"/>
    <mergeCell ref="W12:W14"/>
    <mergeCell ref="X12:X14"/>
    <mergeCell ref="S12:S14"/>
    <mergeCell ref="T12:T14"/>
    <mergeCell ref="U12:U14"/>
    <mergeCell ref="V12:V14"/>
    <mergeCell ref="A12:A14"/>
    <mergeCell ref="B12:B14"/>
    <mergeCell ref="D12:D14"/>
    <mergeCell ref="E12:E14"/>
    <mergeCell ref="F12:F14"/>
    <mergeCell ref="E1:X1"/>
    <mergeCell ref="R7:R8"/>
    <mergeCell ref="G12:G14"/>
    <mergeCell ref="H12:H14"/>
    <mergeCell ref="I12:I14"/>
    <mergeCell ref="J12:J14"/>
    <mergeCell ref="P12:P14"/>
    <mergeCell ref="L12:L14"/>
    <mergeCell ref="M12:M14"/>
    <mergeCell ref="N12:N14"/>
    <mergeCell ref="K12:K14"/>
    <mergeCell ref="Q12:Q14"/>
    <mergeCell ref="R12:R14"/>
    <mergeCell ref="O12:O14"/>
    <mergeCell ref="S7:U8"/>
    <mergeCell ref="V7:X8"/>
    <mergeCell ref="D80:F80"/>
    <mergeCell ref="D81:F81"/>
    <mergeCell ref="D82:F82"/>
    <mergeCell ref="D4:E4"/>
    <mergeCell ref="D76:H76"/>
    <mergeCell ref="D91:H91"/>
    <mergeCell ref="K71:O71"/>
    <mergeCell ref="I72:L72"/>
    <mergeCell ref="K78:X83"/>
    <mergeCell ref="D88:F88"/>
    <mergeCell ref="D89:F89"/>
    <mergeCell ref="G78:H78"/>
    <mergeCell ref="G79:H79"/>
    <mergeCell ref="G89:H89"/>
    <mergeCell ref="D83:F83"/>
    <mergeCell ref="D84:F84"/>
    <mergeCell ref="D85:F85"/>
    <mergeCell ref="D86:F86"/>
    <mergeCell ref="D87:F87"/>
    <mergeCell ref="D78:F78"/>
    <mergeCell ref="D79:F79"/>
  </mergeCells>
  <conditionalFormatting sqref="W45:X68 W15:X40 P15:Q40">
    <cfRule type="cellIs" dxfId="124" priority="46" operator="equal">
      <formula>0</formula>
    </cfRule>
  </conditionalFormatting>
  <conditionalFormatting sqref="R15:R40">
    <cfRule type="expression" dxfId="123" priority="45">
      <formula>ISBLANK($H15)</formula>
    </cfRule>
  </conditionalFormatting>
  <conditionalFormatting sqref="S5 U5:X5">
    <cfRule type="expression" dxfId="122" priority="44">
      <formula>S$6=TRUE()</formula>
    </cfRule>
  </conditionalFormatting>
  <conditionalFormatting sqref="G80:G88">
    <cfRule type="cellIs" dxfId="121" priority="26" operator="equal">
      <formula>"n/a"</formula>
    </cfRule>
  </conditionalFormatting>
  <conditionalFormatting sqref="H82:H86">
    <cfRule type="cellIs" dxfId="120" priority="25" operator="equal">
      <formula>"n/a"</formula>
    </cfRule>
  </conditionalFormatting>
  <conditionalFormatting sqref="H88">
    <cfRule type="cellIs" dxfId="119" priority="24" operator="equal">
      <formula>"n/a"</formula>
    </cfRule>
  </conditionalFormatting>
  <conditionalFormatting sqref="S9 V9">
    <cfRule type="cellIs" dxfId="118" priority="10" stopIfTrue="1" operator="equal">
      <formula>"n/a"</formula>
    </cfRule>
    <cfRule type="cellIs" dxfId="117" priority="11" operator="greaterThan">
      <formula>0</formula>
    </cfRule>
  </conditionalFormatting>
  <conditionalFormatting sqref="N45:N68">
    <cfRule type="cellIs" dxfId="116" priority="8" operator="equal">
      <formula>"n/a"</formula>
    </cfRule>
  </conditionalFormatting>
  <conditionalFormatting sqref="K45:K68">
    <cfRule type="cellIs" dxfId="115" priority="7" operator="equal">
      <formula>"n/a"</formula>
    </cfRule>
  </conditionalFormatting>
  <conditionalFormatting sqref="I45:I68">
    <cfRule type="expression" dxfId="114" priority="6">
      <formula>AND(NOT(ISBLANK($H45)),ISBLANK($I45))</formula>
    </cfRule>
  </conditionalFormatting>
  <conditionalFormatting sqref="L45:L68 P45:Q68">
    <cfRule type="expression" dxfId="113" priority="5">
      <formula>AND(NOT(ISBLANK($H45)),ISBLANK($I45))</formula>
    </cfRule>
  </conditionalFormatting>
  <conditionalFormatting sqref="J71">
    <cfRule type="expression" dxfId="112" priority="4">
      <formula>$AE$82&gt;0</formula>
    </cfRule>
  </conditionalFormatting>
  <conditionalFormatting sqref="L69:P69">
    <cfRule type="expression" dxfId="111" priority="3">
      <formula>$AE$82&gt;0</formula>
    </cfRule>
  </conditionalFormatting>
  <conditionalFormatting sqref="I72:L72">
    <cfRule type="expression" dxfId="110" priority="1">
      <formula>I72="**ERROR**: MISSING PRICE INPUT VALUE"</formula>
    </cfRule>
  </conditionalFormatting>
  <dataValidations count="10">
    <dataValidation type="list" allowBlank="1" showInputMessage="1" showErrorMessage="1" sqref="R10" xr:uid="{A1C531D7-D093-44AB-81B0-4BFC0D15ADEE}">
      <formula1>"YES,NO"</formula1>
    </dataValidation>
    <dataValidation type="whole" allowBlank="1" showInputMessage="1" showErrorMessage="1" errorTitle="# Units Error" error="Must be greater than 1." sqref="H36:H40 H18:H31" xr:uid="{E2E72240-4962-4E51-B9CE-81DCA77BF868}">
      <formula1>1</formula1>
      <formula2>999999</formula2>
    </dataValidation>
    <dataValidation type="whole" allowBlank="1" showInputMessage="1" showErrorMessage="1" errorTitle="# Units Error" error="Must be greater than 1 and less than 7." sqref="H32" xr:uid="{0103262E-A0EC-447E-8D7E-C32F5D77363D}">
      <formula1>1</formula1>
      <formula2>6</formula2>
    </dataValidation>
    <dataValidation type="whole" allowBlank="1" showInputMessage="1" showErrorMessage="1" errorTitle="# Units Error" error="Must be greater than 6 and less than 14." sqref="H33" xr:uid="{9C8E6710-5065-4C55-88D1-69C918F8CAEC}">
      <formula1>7</formula1>
      <formula2>13</formula2>
    </dataValidation>
    <dataValidation type="whole" allowBlank="1" showInputMessage="1" showErrorMessage="1" errorTitle="# Units Error" error="Must be greater than 13 and less than 26." sqref="H34" xr:uid="{C1727576-9965-4B70-A270-2607F827853A}">
      <formula1>14</formula1>
      <formula2>25</formula2>
    </dataValidation>
    <dataValidation type="whole" allowBlank="1" showInputMessage="1" showErrorMessage="1" errorTitle="# Units Error" error="Must be greater than 26." sqref="H35" xr:uid="{CD9D32B7-D8F7-4713-9407-8FCB4D0E1845}">
      <formula1>26</formula1>
      <formula2>999999</formula2>
    </dataValidation>
    <dataValidation type="decimal" operator="greaterThan" allowBlank="1" showInputMessage="1" showErrorMessage="1" sqref="I45:I68" xr:uid="{681A173E-85DB-4B55-99C5-8F2D6D0F9231}">
      <formula1>IF(K45="",0,K45)</formula1>
    </dataValidation>
    <dataValidation type="whole" allowBlank="1" showInputMessage="1" showErrorMessage="1" errorTitle="# Units Error" error="Must be greater than 1 and less than 16." sqref="H15" xr:uid="{C6842577-EA79-4857-9B86-0055C22452D1}">
      <formula1>1</formula1>
      <formula2>15</formula2>
    </dataValidation>
    <dataValidation type="whole" allowBlank="1" showInputMessage="1" showErrorMessage="1" errorTitle="# Units Error" error="Must be greater than 15 and less than 32." sqref="H16" xr:uid="{594B3F82-99E3-4C8B-A1A8-4CB76275B86D}">
      <formula1>16</formula1>
      <formula2>31</formula2>
    </dataValidation>
    <dataValidation type="whole" allowBlank="1" showInputMessage="1" showErrorMessage="1" errorTitle="# Units Error" error="Must be greater than 32." sqref="H17" xr:uid="{009AC694-AA69-4899-B78C-E9644C5AD40E}">
      <formula1>32</formula1>
      <formula2>999999</formula2>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B292D-5236-468E-9910-6066928F92CF}">
  <sheetPr codeName="Sheet2">
    <pageSetUpPr fitToPage="1"/>
  </sheetPr>
  <dimension ref="A1:R99"/>
  <sheetViews>
    <sheetView showGridLines="0" topLeftCell="D1" zoomScale="94" workbookViewId="0">
      <selection activeCell="B1" sqref="B1"/>
    </sheetView>
  </sheetViews>
  <sheetFormatPr baseColWidth="10" defaultColWidth="9.1640625" defaultRowHeight="15" x14ac:dyDescent="0.2"/>
  <cols>
    <col min="1" max="1" width="12.5" hidden="1" customWidth="1"/>
    <col min="2" max="2" width="7.1640625" hidden="1" customWidth="1"/>
    <col min="3" max="3" width="3.5" customWidth="1"/>
    <col min="4" max="4" width="35.1640625" customWidth="1"/>
    <col min="5" max="5" width="8.5" bestFit="1" customWidth="1"/>
    <col min="6" max="6" width="11.5" style="1" bestFit="1" customWidth="1"/>
    <col min="7" max="7" width="6.83203125" style="1" bestFit="1" customWidth="1"/>
    <col min="8" max="8" width="17.5" bestFit="1" customWidth="1"/>
    <col min="9" max="9" width="11" bestFit="1" customWidth="1"/>
    <col min="10" max="10" width="17.5" customWidth="1"/>
    <col min="11" max="11" width="19.83203125" customWidth="1"/>
    <col min="12" max="12" width="15.5" customWidth="1"/>
  </cols>
  <sheetData>
    <row r="1" spans="1:14" x14ac:dyDescent="0.2">
      <c r="D1" s="11"/>
      <c r="E1" s="11"/>
      <c r="F1" s="11"/>
      <c r="G1" s="11"/>
      <c r="H1" s="11"/>
      <c r="I1" s="63"/>
      <c r="J1" s="64"/>
      <c r="K1" s="65"/>
      <c r="L1" s="65"/>
      <c r="M1" s="65"/>
    </row>
    <row r="2" spans="1:14" ht="21" x14ac:dyDescent="0.2">
      <c r="D2" s="368" t="str">
        <f>Estimates!D4</f>
        <v>NAME YOUR DRAFT ORDER HERE:</v>
      </c>
      <c r="E2" s="369"/>
      <c r="F2" s="369"/>
      <c r="G2" s="369"/>
      <c r="H2" s="370"/>
      <c r="I2" s="63"/>
      <c r="J2" s="64"/>
      <c r="K2" s="65"/>
      <c r="L2" s="65"/>
      <c r="M2" s="65"/>
    </row>
    <row r="3" spans="1:14" x14ac:dyDescent="0.2">
      <c r="D3" s="66" t="s">
        <v>9</v>
      </c>
      <c r="E3" s="371" t="str">
        <f>IF(Estimates!E5="","",Estimates!E5)</f>
        <v/>
      </c>
      <c r="F3" s="372"/>
      <c r="G3" s="372"/>
      <c r="H3" s="373"/>
      <c r="I3" s="63"/>
      <c r="J3" s="64"/>
      <c r="K3" s="65"/>
      <c r="L3" s="65"/>
      <c r="M3" s="65"/>
    </row>
    <row r="4" spans="1:14" x14ac:dyDescent="0.2">
      <c r="D4" s="67" t="s">
        <v>97</v>
      </c>
      <c r="E4" s="371" t="str">
        <f>IF(Estimates!E6="","",Estimates!E6)</f>
        <v/>
      </c>
      <c r="F4" s="372"/>
      <c r="G4" s="372"/>
      <c r="H4" s="373"/>
      <c r="I4" s="63"/>
      <c r="J4" s="64"/>
      <c r="K4" s="65"/>
      <c r="L4" s="65"/>
      <c r="M4" s="65"/>
    </row>
    <row r="5" spans="1:14" x14ac:dyDescent="0.2">
      <c r="D5" s="222" t="s">
        <v>12</v>
      </c>
      <c r="E5" s="371" t="str">
        <f>IF(Estimates!E7="","",Estimates!E7)</f>
        <v/>
      </c>
      <c r="F5" s="372"/>
      <c r="G5" s="372"/>
      <c r="H5" s="373"/>
      <c r="I5" s="63"/>
      <c r="J5" s="64"/>
      <c r="K5" s="65"/>
      <c r="L5" s="65"/>
      <c r="M5" s="65"/>
    </row>
    <row r="6" spans="1:14" x14ac:dyDescent="0.2">
      <c r="D6" s="68" t="s">
        <v>16</v>
      </c>
      <c r="E6" s="374" t="str">
        <f>IF(Estimates!E8="","",Estimates!E8)</f>
        <v/>
      </c>
      <c r="F6" s="375"/>
      <c r="G6" s="375"/>
      <c r="H6" s="376"/>
      <c r="I6" s="63"/>
      <c r="J6" s="64"/>
      <c r="K6" s="65"/>
      <c r="L6" s="65"/>
      <c r="M6" s="65"/>
      <c r="N6" s="69"/>
    </row>
    <row r="7" spans="1:14" x14ac:dyDescent="0.2">
      <c r="D7" s="68" t="s">
        <v>17</v>
      </c>
      <c r="E7" s="371" t="str">
        <f>IF(Estimates!E9="","",Estimates!E9)</f>
        <v/>
      </c>
      <c r="F7" s="372"/>
      <c r="G7" s="372"/>
      <c r="H7" s="373"/>
      <c r="I7" s="63"/>
      <c r="J7" s="64"/>
      <c r="K7" s="65"/>
      <c r="L7" s="65"/>
      <c r="M7" s="65"/>
    </row>
    <row r="8" spans="1:14" x14ac:dyDescent="0.2">
      <c r="D8" s="70" t="s">
        <v>98</v>
      </c>
      <c r="E8" s="64"/>
      <c r="F8" s="71"/>
      <c r="G8" s="71"/>
      <c r="H8" s="64"/>
      <c r="I8" s="64"/>
      <c r="J8" s="64"/>
      <c r="K8" s="65"/>
      <c r="L8" s="65"/>
      <c r="M8" s="65"/>
      <c r="N8" s="69"/>
    </row>
    <row r="9" spans="1:14" x14ac:dyDescent="0.2">
      <c r="D9" s="70"/>
      <c r="E9" s="64"/>
      <c r="F9" s="71"/>
      <c r="G9" s="71"/>
      <c r="H9" s="64"/>
      <c r="I9" s="64"/>
      <c r="J9" s="64"/>
      <c r="K9" s="65"/>
      <c r="L9" s="65"/>
      <c r="M9" s="65"/>
      <c r="N9" s="69"/>
    </row>
    <row r="10" spans="1:14" ht="16" thickBot="1" x14ac:dyDescent="0.25">
      <c r="D10" s="73"/>
      <c r="E10" s="73"/>
      <c r="F10" s="73"/>
      <c r="G10" s="73"/>
      <c r="H10" s="65"/>
      <c r="I10" s="65"/>
      <c r="J10" s="65"/>
      <c r="K10" s="65"/>
      <c r="L10" s="65"/>
      <c r="M10" s="65"/>
    </row>
    <row r="11" spans="1:14" x14ac:dyDescent="0.2">
      <c r="A11" s="358" t="s">
        <v>58</v>
      </c>
      <c r="B11" s="360" t="s">
        <v>99</v>
      </c>
      <c r="D11" s="391" t="s">
        <v>26</v>
      </c>
      <c r="E11" s="394" t="s">
        <v>27</v>
      </c>
      <c r="F11" s="394" t="s">
        <v>100</v>
      </c>
      <c r="G11" s="397" t="s">
        <v>29</v>
      </c>
      <c r="H11" s="400" t="s">
        <v>101</v>
      </c>
      <c r="I11" s="400" t="s">
        <v>102</v>
      </c>
      <c r="J11" s="400" t="s">
        <v>103</v>
      </c>
      <c r="K11" s="400" t="s">
        <v>104</v>
      </c>
      <c r="L11" s="388" t="s">
        <v>105</v>
      </c>
      <c r="M11" s="65"/>
    </row>
    <row r="12" spans="1:14" x14ac:dyDescent="0.2">
      <c r="A12" s="359"/>
      <c r="B12" s="361"/>
      <c r="D12" s="392"/>
      <c r="E12" s="395"/>
      <c r="F12" s="395"/>
      <c r="G12" s="398"/>
      <c r="H12" s="401"/>
      <c r="I12" s="401"/>
      <c r="J12" s="401"/>
      <c r="K12" s="401"/>
      <c r="L12" s="389"/>
      <c r="M12" s="65"/>
    </row>
    <row r="13" spans="1:14" x14ac:dyDescent="0.2">
      <c r="A13" s="359"/>
      <c r="B13" s="361"/>
      <c r="D13" s="393"/>
      <c r="E13" s="396"/>
      <c r="F13" s="396"/>
      <c r="G13" s="399"/>
      <c r="H13" s="402"/>
      <c r="I13" s="402"/>
      <c r="J13" s="402"/>
      <c r="K13" s="402"/>
      <c r="L13" s="390"/>
      <c r="M13" s="65"/>
    </row>
    <row r="14" spans="1:14" x14ac:dyDescent="0.2">
      <c r="A14" s="253" t="s">
        <v>46</v>
      </c>
      <c r="B14" s="153" t="b">
        <f t="shared" ref="B14:B16" si="0">G14&gt;0</f>
        <v>0</v>
      </c>
      <c r="C14" s="273"/>
      <c r="D14" s="280" t="str">
        <f>Estimates!E15</f>
        <v>Altus®</v>
      </c>
      <c r="E14" s="230" t="str">
        <f>Estimates!F15</f>
        <v>64 oz</v>
      </c>
      <c r="F14" s="230" t="str">
        <f>Estimates!G15</f>
        <v>Insecticide</v>
      </c>
      <c r="G14" s="231">
        <f>Estimates!H15</f>
        <v>0</v>
      </c>
      <c r="H14" s="233">
        <f>Estimates!I15</f>
        <v>471.04</v>
      </c>
      <c r="I14" s="233">
        <f>Estimates!K15</f>
        <v>471.04</v>
      </c>
      <c r="J14" s="234" t="str">
        <f>Estimates!L15</f>
        <v/>
      </c>
      <c r="K14" s="234" t="str">
        <f>Estimates!S15</f>
        <v/>
      </c>
      <c r="L14" s="234" t="e">
        <f t="shared" ref="L14:L16" si="1">K14/G14</f>
        <v>#VALUE!</v>
      </c>
      <c r="M14" s="65"/>
    </row>
    <row r="15" spans="1:14" x14ac:dyDescent="0.2">
      <c r="A15" s="253" t="s">
        <v>47</v>
      </c>
      <c r="B15" s="153" t="b">
        <f t="shared" si="0"/>
        <v>0</v>
      </c>
      <c r="C15" s="279"/>
      <c r="D15" s="93" t="str">
        <f>Estimates!E16</f>
        <v>Altus®</v>
      </c>
      <c r="E15" s="230" t="str">
        <f>Estimates!F16</f>
        <v>64 oz</v>
      </c>
      <c r="F15" s="230" t="str">
        <f>Estimates!G16</f>
        <v>Insecticide</v>
      </c>
      <c r="G15" s="231">
        <f>Estimates!H16</f>
        <v>0</v>
      </c>
      <c r="H15" s="233">
        <f>Estimates!I16</f>
        <v>471.04</v>
      </c>
      <c r="I15" s="233">
        <f>Estimates!K16</f>
        <v>447.36</v>
      </c>
      <c r="J15" s="234" t="str">
        <f>Estimates!L16</f>
        <v/>
      </c>
      <c r="K15" s="234" t="str">
        <f>Estimates!S16</f>
        <v/>
      </c>
      <c r="L15" s="234" t="e">
        <f t="shared" si="1"/>
        <v>#VALUE!</v>
      </c>
      <c r="M15" s="65"/>
    </row>
    <row r="16" spans="1:14" x14ac:dyDescent="0.2">
      <c r="A16" s="253" t="s">
        <v>48</v>
      </c>
      <c r="B16" s="153" t="b">
        <f t="shared" si="0"/>
        <v>0</v>
      </c>
      <c r="C16" s="279"/>
      <c r="D16" s="93" t="str">
        <f>Estimates!E17</f>
        <v>Altus®</v>
      </c>
      <c r="E16" s="230" t="str">
        <f>Estimates!F17</f>
        <v>64 oz</v>
      </c>
      <c r="F16" s="230" t="str">
        <f>Estimates!G17</f>
        <v>Insecticide</v>
      </c>
      <c r="G16" s="231">
        <f>Estimates!H17</f>
        <v>0</v>
      </c>
      <c r="H16" s="233">
        <f>Estimates!I17</f>
        <v>471.04</v>
      </c>
      <c r="I16" s="233">
        <f>Estimates!K17</f>
        <v>423.68</v>
      </c>
      <c r="J16" s="234" t="str">
        <f>Estimates!L17</f>
        <v/>
      </c>
      <c r="K16" s="234" t="str">
        <f>Estimates!S17</f>
        <v/>
      </c>
      <c r="L16" s="234" t="e">
        <f t="shared" si="1"/>
        <v>#VALUE!</v>
      </c>
      <c r="M16" s="65"/>
    </row>
    <row r="17" spans="1:13" x14ac:dyDescent="0.2">
      <c r="A17" s="216" t="s">
        <v>49</v>
      </c>
      <c r="B17" s="153" t="b">
        <f>G17&gt;0</f>
        <v>0</v>
      </c>
      <c r="C17" s="279"/>
      <c r="D17" s="93" t="str">
        <f>Estimates!E18</f>
        <v>Celsius® WG</v>
      </c>
      <c r="E17" s="230" t="str">
        <f>Estimates!F18</f>
        <v>10 oz</v>
      </c>
      <c r="F17" s="230" t="str">
        <f>Estimates!G18</f>
        <v>Herbicide</v>
      </c>
      <c r="G17" s="231">
        <f>Estimates!H18</f>
        <v>0</v>
      </c>
      <c r="H17" s="233">
        <f>Estimates!I18</f>
        <v>137.19999999999999</v>
      </c>
      <c r="I17" s="233">
        <f>Estimates!K18</f>
        <v>133.19999999999999</v>
      </c>
      <c r="J17" s="234" t="str">
        <f>Estimates!L18</f>
        <v/>
      </c>
      <c r="K17" s="234" t="str">
        <f>Estimates!S18</f>
        <v/>
      </c>
      <c r="L17" s="234" t="e">
        <f>K17/G17</f>
        <v>#VALUE!</v>
      </c>
      <c r="M17" s="65"/>
    </row>
    <row r="18" spans="1:13" x14ac:dyDescent="0.2">
      <c r="A18" s="217" t="s">
        <v>50</v>
      </c>
      <c r="B18" s="153" t="b">
        <f t="shared" ref="B18:B39" si="2">G18&gt;0</f>
        <v>0</v>
      </c>
      <c r="C18" s="279"/>
      <c r="D18" s="93" t="str">
        <f>Estimates!E19</f>
        <v>Celsius® XTRA</v>
      </c>
      <c r="E18" s="94" t="str">
        <f>Estimates!F19</f>
        <v>10 oz</v>
      </c>
      <c r="F18" s="94" t="str">
        <f>Estimates!G19</f>
        <v>Herbicide</v>
      </c>
      <c r="G18" s="95">
        <f>Estimates!H19</f>
        <v>0</v>
      </c>
      <c r="H18" s="96">
        <f>Estimates!I19</f>
        <v>165.3</v>
      </c>
      <c r="I18" s="96">
        <f>Estimates!K19</f>
        <v>165.3</v>
      </c>
      <c r="J18" s="97" t="str">
        <f>Estimates!L19</f>
        <v/>
      </c>
      <c r="K18" s="98" t="str">
        <f>Estimates!S19</f>
        <v/>
      </c>
      <c r="L18" s="99" t="e">
        <f t="shared" ref="L18:L39" si="3">K18/G18</f>
        <v>#VALUE!</v>
      </c>
      <c r="M18" s="65"/>
    </row>
    <row r="19" spans="1:13" x14ac:dyDescent="0.2">
      <c r="A19" s="216">
        <v>11008409</v>
      </c>
      <c r="B19" s="153" t="b">
        <f t="shared" si="2"/>
        <v>0</v>
      </c>
      <c r="C19" s="279"/>
      <c r="D19" s="93" t="str">
        <f>Estimates!E20</f>
        <v>Dismiss® NXT Herbicide</v>
      </c>
      <c r="E19" s="94" t="str">
        <f>Estimates!F20</f>
        <v>10 oz</v>
      </c>
      <c r="F19" s="94" t="str">
        <f>Estimates!G20</f>
        <v>Herbicide</v>
      </c>
      <c r="G19" s="95">
        <f>Estimates!H20</f>
        <v>0</v>
      </c>
      <c r="H19" s="96">
        <f>Estimates!I20</f>
        <v>99.1</v>
      </c>
      <c r="I19" s="96">
        <f>Estimates!K20</f>
        <v>94.3</v>
      </c>
      <c r="J19" s="97" t="str">
        <f>Estimates!L20</f>
        <v/>
      </c>
      <c r="K19" s="98" t="str">
        <f>Estimates!S20</f>
        <v/>
      </c>
      <c r="L19" s="99" t="e">
        <f t="shared" si="3"/>
        <v>#VALUE!</v>
      </c>
      <c r="M19" s="65"/>
    </row>
    <row r="20" spans="1:13" x14ac:dyDescent="0.2">
      <c r="A20" s="217">
        <v>11008589</v>
      </c>
      <c r="B20" s="153" t="b">
        <f t="shared" si="2"/>
        <v>0</v>
      </c>
      <c r="C20" s="279"/>
      <c r="D20" s="93" t="str">
        <f>Estimates!E21</f>
        <v>Dismiss® NXT Herbicide</v>
      </c>
      <c r="E20" s="94" t="str">
        <f>Estimates!F21</f>
        <v>60 oz</v>
      </c>
      <c r="F20" s="94" t="str">
        <f>Estimates!G21</f>
        <v>Herbicide</v>
      </c>
      <c r="G20" s="95">
        <f>Estimates!H21</f>
        <v>0</v>
      </c>
      <c r="H20" s="96">
        <f>Estimates!I21</f>
        <v>528</v>
      </c>
      <c r="I20" s="96">
        <f>Estimates!K21</f>
        <v>512.4</v>
      </c>
      <c r="J20" s="97" t="str">
        <f>Estimates!L21</f>
        <v/>
      </c>
      <c r="K20" s="98" t="str">
        <f>Estimates!S21</f>
        <v/>
      </c>
      <c r="L20" s="99" t="e">
        <f t="shared" si="3"/>
        <v>#VALUE!</v>
      </c>
      <c r="M20" s="65"/>
    </row>
    <row r="21" spans="1:13" x14ac:dyDescent="0.2">
      <c r="A21" s="216">
        <v>11015390</v>
      </c>
      <c r="B21" s="153" t="b">
        <f t="shared" si="2"/>
        <v>0</v>
      </c>
      <c r="D21" s="93" t="str">
        <f>Estimates!E22</f>
        <v xml:space="preserve">Durentis® Insecticide  </v>
      </c>
      <c r="E21" s="94" t="str">
        <f>Estimates!F22</f>
        <v>16 oz</v>
      </c>
      <c r="F21" s="94" t="str">
        <f>Estimates!G22</f>
        <v>Insecticide</v>
      </c>
      <c r="G21" s="95">
        <f>Estimates!H22</f>
        <v>0</v>
      </c>
      <c r="H21" s="96">
        <f>Estimates!I22</f>
        <v>658.72</v>
      </c>
      <c r="I21" s="96">
        <f>Estimates!K22</f>
        <v>560.64</v>
      </c>
      <c r="J21" s="97" t="str">
        <f>Estimates!L22</f>
        <v/>
      </c>
      <c r="K21" s="98" t="str">
        <f>Estimates!S22</f>
        <v/>
      </c>
      <c r="L21" s="99" t="e">
        <f t="shared" si="3"/>
        <v>#VALUE!</v>
      </c>
      <c r="M21" s="65"/>
    </row>
    <row r="22" spans="1:13" x14ac:dyDescent="0.2">
      <c r="A22" s="217">
        <v>11015391</v>
      </c>
      <c r="B22" s="153" t="b">
        <f t="shared" si="2"/>
        <v>0</v>
      </c>
      <c r="D22" s="93" t="str">
        <f>Estimates!E23</f>
        <v xml:space="preserve">Durentis® Insecticide  </v>
      </c>
      <c r="E22" s="94" t="str">
        <f>Estimates!F23</f>
        <v>64 oz</v>
      </c>
      <c r="F22" s="94" t="str">
        <f>Estimates!G23</f>
        <v>Insecticide</v>
      </c>
      <c r="G22" s="95">
        <f>Estimates!H23</f>
        <v>0</v>
      </c>
      <c r="H22" s="96">
        <f>Estimates!I23</f>
        <v>2470.4</v>
      </c>
      <c r="I22" s="96">
        <f>Estimates!K23</f>
        <v>2100.48</v>
      </c>
      <c r="J22" s="97" t="str">
        <f>Estimates!L23</f>
        <v/>
      </c>
      <c r="K22" s="98" t="str">
        <f>Estimates!S23</f>
        <v/>
      </c>
      <c r="L22" s="99" t="e">
        <f t="shared" si="3"/>
        <v>#VALUE!</v>
      </c>
      <c r="M22" s="65"/>
    </row>
    <row r="23" spans="1:13" x14ac:dyDescent="0.2">
      <c r="A23" s="216">
        <v>11008464</v>
      </c>
      <c r="B23" s="153" t="b">
        <f t="shared" si="2"/>
        <v>0</v>
      </c>
      <c r="D23" s="93" t="str">
        <f>Estimates!E24</f>
        <v>Echelon® 4SC Herbicide</v>
      </c>
      <c r="E23" s="94" t="str">
        <f>Estimates!F24</f>
        <v>1 gal</v>
      </c>
      <c r="F23" s="94" t="str">
        <f>Estimates!G24</f>
        <v>Herbicide</v>
      </c>
      <c r="G23" s="95">
        <f>Estimates!H24</f>
        <v>0</v>
      </c>
      <c r="H23" s="96">
        <f>Estimates!I24</f>
        <v>464.64</v>
      </c>
      <c r="I23" s="96">
        <f>Estimates!K24</f>
        <v>464.64</v>
      </c>
      <c r="J23" s="97" t="str">
        <f>Estimates!L24</f>
        <v/>
      </c>
      <c r="K23" s="98" t="str">
        <f>Estimates!S24</f>
        <v/>
      </c>
      <c r="L23" s="99" t="e">
        <f t="shared" si="3"/>
        <v>#VALUE!</v>
      </c>
      <c r="M23" s="65"/>
    </row>
    <row r="24" spans="1:13" x14ac:dyDescent="0.2">
      <c r="A24" s="217">
        <v>11008557</v>
      </c>
      <c r="B24" s="153" t="b">
        <f t="shared" si="2"/>
        <v>0</v>
      </c>
      <c r="D24" s="93" t="str">
        <f>Estimates!E25</f>
        <v>Fame® SC Fungicide</v>
      </c>
      <c r="E24" s="94" t="str">
        <f>Estimates!F25</f>
        <v>64 oz</v>
      </c>
      <c r="F24" s="94" t="str">
        <f>Estimates!G25</f>
        <v>Fungicide</v>
      </c>
      <c r="G24" s="95">
        <f>Estimates!H25</f>
        <v>0</v>
      </c>
      <c r="H24" s="96">
        <f>Estimates!I25</f>
        <v>1652.48</v>
      </c>
      <c r="I24" s="96">
        <f>Estimates!K25</f>
        <v>1652.48</v>
      </c>
      <c r="J24" s="97" t="str">
        <f>Estimates!L25</f>
        <v/>
      </c>
      <c r="K24" s="98" t="str">
        <f>Estimates!S25</f>
        <v/>
      </c>
      <c r="L24" s="99" t="e">
        <f t="shared" si="3"/>
        <v>#VALUE!</v>
      </c>
      <c r="M24" s="65"/>
    </row>
    <row r="25" spans="1:13" x14ac:dyDescent="0.2">
      <c r="A25" s="216">
        <v>11009500</v>
      </c>
      <c r="B25" s="153" t="b">
        <f t="shared" si="2"/>
        <v>0</v>
      </c>
      <c r="D25" s="93" t="str">
        <f>Estimates!E26</f>
        <v>Fame® SC Fungicide</v>
      </c>
      <c r="E25" s="94" t="str">
        <f>Estimates!F26</f>
        <v>2.5 gal</v>
      </c>
      <c r="F25" s="94" t="str">
        <f>Estimates!G26</f>
        <v>Fungicide</v>
      </c>
      <c r="G25" s="95">
        <f>Estimates!H26</f>
        <v>0</v>
      </c>
      <c r="H25" s="96">
        <f>Estimates!I26</f>
        <v>7462.4</v>
      </c>
      <c r="I25" s="96">
        <f>Estimates!K26</f>
        <v>7462.4</v>
      </c>
      <c r="J25" s="97" t="str">
        <f>Estimates!L26</f>
        <v/>
      </c>
      <c r="K25" s="98" t="str">
        <f>Estimates!S26</f>
        <v/>
      </c>
      <c r="L25" s="99" t="e">
        <f t="shared" si="3"/>
        <v>#VALUE!</v>
      </c>
      <c r="M25" s="65"/>
    </row>
    <row r="26" spans="1:13" x14ac:dyDescent="0.2">
      <c r="A26" s="216">
        <v>79545312</v>
      </c>
      <c r="B26" s="153" t="b">
        <f t="shared" si="2"/>
        <v>0</v>
      </c>
      <c r="D26" s="93" t="str">
        <f>Estimates!E27</f>
        <v>Revolver®</v>
      </c>
      <c r="E26" s="94" t="str">
        <f>Estimates!F27</f>
        <v>87 fl oz</v>
      </c>
      <c r="F26" s="94" t="str">
        <f>Estimates!G27</f>
        <v>Herbicide</v>
      </c>
      <c r="G26" s="95">
        <f>Estimates!H27</f>
        <v>0</v>
      </c>
      <c r="H26" s="96">
        <f>Estimates!I27</f>
        <v>832.59</v>
      </c>
      <c r="I26" s="96">
        <f>Estimates!K27</f>
        <v>808.23</v>
      </c>
      <c r="J26" s="97" t="str">
        <f>Estimates!L27</f>
        <v/>
      </c>
      <c r="K26" s="98" t="str">
        <f>Estimates!S27</f>
        <v/>
      </c>
      <c r="L26" s="99" t="e">
        <f t="shared" si="3"/>
        <v>#VALUE!</v>
      </c>
      <c r="M26" s="65"/>
    </row>
    <row r="27" spans="1:13" x14ac:dyDescent="0.2">
      <c r="A27" s="217">
        <v>11009495</v>
      </c>
      <c r="B27" s="153" t="b">
        <f t="shared" si="2"/>
        <v>0</v>
      </c>
      <c r="D27" s="93" t="str">
        <f>Estimates!E28</f>
        <v>Scion® with UVX Technology</v>
      </c>
      <c r="E27" s="94" t="str">
        <f>Estimates!F28</f>
        <v>32 oz</v>
      </c>
      <c r="F27" s="94" t="str">
        <f>Estimates!G28</f>
        <v>Insecticide</v>
      </c>
      <c r="G27" s="95">
        <f>Estimates!H28</f>
        <v>0</v>
      </c>
      <c r="H27" s="96">
        <f>Estimates!I28</f>
        <v>164.53</v>
      </c>
      <c r="I27" s="96">
        <f>Estimates!K28</f>
        <v>164.53</v>
      </c>
      <c r="J27" s="97" t="str">
        <f>Estimates!L28</f>
        <v/>
      </c>
      <c r="K27" s="98" t="str">
        <f>Estimates!S28</f>
        <v/>
      </c>
      <c r="L27" s="99" t="e">
        <f t="shared" si="3"/>
        <v>#VALUE!</v>
      </c>
      <c r="M27" s="65"/>
    </row>
    <row r="28" spans="1:13" x14ac:dyDescent="0.2">
      <c r="A28" s="216">
        <v>11008522</v>
      </c>
      <c r="B28" s="153" t="b">
        <f t="shared" si="2"/>
        <v>0</v>
      </c>
      <c r="D28" s="93" t="str">
        <f>Estimates!E29</f>
        <v xml:space="preserve">Solitare® Herbicide </v>
      </c>
      <c r="E28" s="94" t="str">
        <f>Estimates!F29</f>
        <v>4 lb</v>
      </c>
      <c r="F28" s="94" t="str">
        <f>Estimates!G29</f>
        <v>Herbicide</v>
      </c>
      <c r="G28" s="95">
        <f>Estimates!H29</f>
        <v>0</v>
      </c>
      <c r="H28" s="96">
        <f>Estimates!I29</f>
        <v>611.08000000000004</v>
      </c>
      <c r="I28" s="96">
        <f>Estimates!K29</f>
        <v>611.08000000000004</v>
      </c>
      <c r="J28" s="97" t="str">
        <f>Estimates!L29</f>
        <v/>
      </c>
      <c r="K28" s="98" t="str">
        <f>Estimates!S29</f>
        <v/>
      </c>
      <c r="L28" s="99" t="e">
        <f t="shared" si="3"/>
        <v>#VALUE!</v>
      </c>
      <c r="M28" s="65"/>
    </row>
    <row r="29" spans="1:13" x14ac:dyDescent="0.2">
      <c r="A29" s="217">
        <v>11013862</v>
      </c>
      <c r="B29" s="153" t="b">
        <f t="shared" si="2"/>
        <v>0</v>
      </c>
      <c r="D29" s="93" t="str">
        <f>Estimates!E30</f>
        <v>Solitare® WSL Herbicide</v>
      </c>
      <c r="E29" s="94" t="str">
        <f>Estimates!F30</f>
        <v>2.5 gal</v>
      </c>
      <c r="F29" s="94" t="str">
        <f>Estimates!G30</f>
        <v>Herbicide</v>
      </c>
      <c r="G29" s="95">
        <f>Estimates!H30</f>
        <v>0</v>
      </c>
      <c r="H29" s="96">
        <f>Estimates!I30</f>
        <v>268.8</v>
      </c>
      <c r="I29" s="96">
        <f>Estimates!K30</f>
        <v>268.8</v>
      </c>
      <c r="J29" s="97" t="str">
        <f>Estimates!L30</f>
        <v/>
      </c>
      <c r="K29" s="98" t="str">
        <f>Estimates!S30</f>
        <v/>
      </c>
      <c r="L29" s="99" t="e">
        <f t="shared" si="3"/>
        <v>#VALUE!</v>
      </c>
      <c r="M29" s="65"/>
    </row>
    <row r="30" spans="1:13" x14ac:dyDescent="0.2">
      <c r="A30" s="216" t="s">
        <v>51</v>
      </c>
      <c r="B30" s="153" t="b">
        <f t="shared" si="2"/>
        <v>0</v>
      </c>
      <c r="D30" s="93" t="str">
        <f>Estimates!E31</f>
        <v xml:space="preserve">Specticle® FLO </v>
      </c>
      <c r="E30" s="94" t="str">
        <f>Estimates!F31</f>
        <v>18 oz</v>
      </c>
      <c r="F30" s="94" t="str">
        <f>Estimates!G31</f>
        <v>Herbicide</v>
      </c>
      <c r="G30" s="95">
        <f>Estimates!H31</f>
        <v>0</v>
      </c>
      <c r="H30" s="96">
        <f>Estimates!I31</f>
        <v>340.02</v>
      </c>
      <c r="I30" s="96">
        <f>Estimates!K31</f>
        <v>340.02</v>
      </c>
      <c r="J30" s="97" t="str">
        <f>Estimates!L31</f>
        <v/>
      </c>
      <c r="K30" s="98" t="str">
        <f>Estimates!S31</f>
        <v/>
      </c>
      <c r="L30" s="99" t="e">
        <f t="shared" si="3"/>
        <v>#VALUE!</v>
      </c>
      <c r="M30" s="65"/>
    </row>
    <row r="31" spans="1:13" x14ac:dyDescent="0.2">
      <c r="A31" s="217" t="s">
        <v>52</v>
      </c>
      <c r="B31" s="153" t="b">
        <f t="shared" si="2"/>
        <v>0</v>
      </c>
      <c r="D31" s="93" t="str">
        <f>Estimates!E32</f>
        <v xml:space="preserve">Specticle® FLO </v>
      </c>
      <c r="E31" s="94" t="str">
        <f>Estimates!F32</f>
        <v>1 gal</v>
      </c>
      <c r="F31" s="94" t="str">
        <f>Estimates!G32</f>
        <v>Herbicide</v>
      </c>
      <c r="G31" s="95">
        <f>Estimates!H32</f>
        <v>0</v>
      </c>
      <c r="H31" s="96">
        <f>Estimates!I32</f>
        <v>2232.3200000000002</v>
      </c>
      <c r="I31" s="96">
        <f>Estimates!K32</f>
        <v>2143.0300000000002</v>
      </c>
      <c r="J31" s="97" t="str">
        <f>Estimates!L32</f>
        <v/>
      </c>
      <c r="K31" s="98" t="str">
        <f>Estimates!S32</f>
        <v/>
      </c>
      <c r="L31" s="99" t="e">
        <f t="shared" si="3"/>
        <v>#VALUE!</v>
      </c>
      <c r="M31" s="65"/>
    </row>
    <row r="32" spans="1:13" x14ac:dyDescent="0.2">
      <c r="A32" s="216" t="s">
        <v>53</v>
      </c>
      <c r="B32" s="153" t="b">
        <f t="shared" si="2"/>
        <v>0</v>
      </c>
      <c r="D32" s="93" t="str">
        <f>Estimates!E33</f>
        <v xml:space="preserve">Specticle® FLO </v>
      </c>
      <c r="E32" s="94" t="str">
        <f>Estimates!F33</f>
        <v>1 gal</v>
      </c>
      <c r="F32" s="94" t="str">
        <f>Estimates!G33</f>
        <v>Herbicide</v>
      </c>
      <c r="G32" s="95">
        <f>Estimates!H33</f>
        <v>0</v>
      </c>
      <c r="H32" s="96">
        <f>Estimates!I33</f>
        <v>2232.3200000000002</v>
      </c>
      <c r="I32" s="96">
        <f>Estimates!K33</f>
        <v>2098.38</v>
      </c>
      <c r="J32" s="97" t="str">
        <f>Estimates!L33</f>
        <v/>
      </c>
      <c r="K32" s="98" t="str">
        <f>Estimates!S33</f>
        <v/>
      </c>
      <c r="L32" s="99" t="e">
        <f t="shared" si="3"/>
        <v>#VALUE!</v>
      </c>
      <c r="M32" s="65"/>
    </row>
    <row r="33" spans="1:13" x14ac:dyDescent="0.2">
      <c r="A33" s="217" t="s">
        <v>54</v>
      </c>
      <c r="B33" s="153" t="b">
        <f t="shared" si="2"/>
        <v>0</v>
      </c>
      <c r="D33" s="93" t="str">
        <f>Estimates!E34</f>
        <v xml:space="preserve">Specticle® FLO </v>
      </c>
      <c r="E33" s="94" t="str">
        <f>Estimates!F34</f>
        <v>1 gal</v>
      </c>
      <c r="F33" s="94" t="str">
        <f>Estimates!G34</f>
        <v>Herbicide</v>
      </c>
      <c r="G33" s="95">
        <f>Estimates!H34</f>
        <v>0</v>
      </c>
      <c r="H33" s="96">
        <f>Estimates!I34</f>
        <v>1916.16</v>
      </c>
      <c r="I33" s="96">
        <f>Estimates!K34</f>
        <v>1839.51</v>
      </c>
      <c r="J33" s="97" t="str">
        <f>Estimates!L34</f>
        <v/>
      </c>
      <c r="K33" s="98" t="str">
        <f>Estimates!S34</f>
        <v/>
      </c>
      <c r="L33" s="99" t="e">
        <f t="shared" si="3"/>
        <v>#VALUE!</v>
      </c>
      <c r="M33" s="65"/>
    </row>
    <row r="34" spans="1:13" x14ac:dyDescent="0.2">
      <c r="A34" s="216" t="s">
        <v>55</v>
      </c>
      <c r="B34" s="153" t="b">
        <f t="shared" si="2"/>
        <v>0</v>
      </c>
      <c r="D34" s="93" t="str">
        <f>Estimates!E35</f>
        <v xml:space="preserve">Specticle® FLO </v>
      </c>
      <c r="E34" s="94" t="str">
        <f>Estimates!F35</f>
        <v>1 gal</v>
      </c>
      <c r="F34" s="94" t="str">
        <f>Estimates!G35</f>
        <v>Herbicide</v>
      </c>
      <c r="G34" s="95">
        <f>Estimates!H35</f>
        <v>0</v>
      </c>
      <c r="H34" s="96">
        <f>Estimates!I35</f>
        <v>1916.16</v>
      </c>
      <c r="I34" s="96">
        <f>Estimates!K35</f>
        <v>1820.35</v>
      </c>
      <c r="J34" s="97" t="str">
        <f>Estimates!L35</f>
        <v/>
      </c>
      <c r="K34" s="98" t="str">
        <f>Estimates!S35</f>
        <v/>
      </c>
      <c r="L34" s="99" t="e">
        <f t="shared" si="3"/>
        <v>#VALUE!</v>
      </c>
      <c r="M34" s="65"/>
    </row>
    <row r="35" spans="1:13" x14ac:dyDescent="0.2">
      <c r="A35" s="217" t="s">
        <v>56</v>
      </c>
      <c r="B35" s="153" t="b">
        <f t="shared" si="2"/>
        <v>0</v>
      </c>
      <c r="D35" s="93" t="str">
        <f>Estimates!E36</f>
        <v>Specticle® G</v>
      </c>
      <c r="E35" s="94" t="str">
        <f>Estimates!F36</f>
        <v>50 lb</v>
      </c>
      <c r="F35" s="94" t="str">
        <f>Estimates!G36</f>
        <v>Herbicide</v>
      </c>
      <c r="G35" s="95">
        <f>Estimates!H36</f>
        <v>0</v>
      </c>
      <c r="H35" s="96">
        <f>Estimates!I36</f>
        <v>139</v>
      </c>
      <c r="I35" s="96">
        <f>Estimates!K36</f>
        <v>139</v>
      </c>
      <c r="J35" s="97" t="str">
        <f>Estimates!L36</f>
        <v/>
      </c>
      <c r="K35" s="98" t="str">
        <f>Estimates!S36</f>
        <v/>
      </c>
      <c r="L35" s="99" t="e">
        <f t="shared" si="3"/>
        <v>#VALUE!</v>
      </c>
      <c r="M35" s="65"/>
    </row>
    <row r="36" spans="1:13" x14ac:dyDescent="0.2">
      <c r="A36" s="218">
        <v>86797658</v>
      </c>
      <c r="B36" s="153" t="b">
        <f t="shared" si="2"/>
        <v>0</v>
      </c>
      <c r="D36" s="93" t="str">
        <f>Estimates!E37</f>
        <v>Tetrino®</v>
      </c>
      <c r="E36" s="94" t="str">
        <f>Estimates!F37</f>
        <v> 1 gal</v>
      </c>
      <c r="F36" s="94" t="str">
        <f>Estimates!G37</f>
        <v>Insecticide</v>
      </c>
      <c r="G36" s="95">
        <f>Estimates!H37</f>
        <v>0</v>
      </c>
      <c r="H36" s="96">
        <f>Estimates!I37</f>
        <v>606.72</v>
      </c>
      <c r="I36" s="96">
        <f>Estimates!K37</f>
        <v>606.72</v>
      </c>
      <c r="J36" s="97" t="str">
        <f>Estimates!L37</f>
        <v/>
      </c>
      <c r="K36" s="98" t="str">
        <f>Estimates!S37</f>
        <v/>
      </c>
      <c r="L36" s="99" t="e">
        <f t="shared" si="3"/>
        <v>#VALUE!</v>
      </c>
      <c r="M36" s="65"/>
    </row>
    <row r="37" spans="1:13" x14ac:dyDescent="0.2">
      <c r="A37" s="217">
        <v>81746257</v>
      </c>
      <c r="B37" s="153" t="b">
        <f t="shared" si="2"/>
        <v>0</v>
      </c>
      <c r="D37" s="93" t="str">
        <f>Estimates!E38</f>
        <v>Tribute® Total</v>
      </c>
      <c r="E37" s="94" t="str">
        <f>Estimates!F38</f>
        <v>6 oz</v>
      </c>
      <c r="F37" s="94" t="str">
        <f>Estimates!G38</f>
        <v>Herbicide</v>
      </c>
      <c r="G37" s="95">
        <f>Estimates!H38</f>
        <v>0</v>
      </c>
      <c r="H37" s="96">
        <f>Estimates!I38</f>
        <v>445.8</v>
      </c>
      <c r="I37" s="96">
        <f>Estimates!K38</f>
        <v>445.8</v>
      </c>
      <c r="J37" s="97" t="str">
        <f>Estimates!L38</f>
        <v/>
      </c>
      <c r="K37" s="98" t="str">
        <f>Estimates!S38</f>
        <v/>
      </c>
      <c r="L37" s="99" t="e">
        <f t="shared" si="3"/>
        <v>#VALUE!</v>
      </c>
      <c r="M37" s="65"/>
    </row>
    <row r="38" spans="1:13" x14ac:dyDescent="0.2">
      <c r="A38" s="216">
        <v>11008520</v>
      </c>
      <c r="B38" s="153" t="b">
        <f t="shared" si="2"/>
        <v>0</v>
      </c>
      <c r="D38" s="93" t="str">
        <f>Estimates!E39</f>
        <v xml:space="preserve">Triple Crown® T&amp;O Insecticide </v>
      </c>
      <c r="E38" s="94" t="str">
        <f>Estimates!F39</f>
        <v xml:space="preserve">1 gal </v>
      </c>
      <c r="F38" s="94" t="str">
        <f>Estimates!G39</f>
        <v>Insecticide</v>
      </c>
      <c r="G38" s="95">
        <f>Estimates!H39</f>
        <v>0</v>
      </c>
      <c r="H38" s="96">
        <f>Estimates!I39</f>
        <v>371.2</v>
      </c>
      <c r="I38" s="96">
        <f>Estimates!K39</f>
        <v>371.2</v>
      </c>
      <c r="J38" s="97" t="str">
        <f>Estimates!L39</f>
        <v/>
      </c>
      <c r="K38" s="98" t="str">
        <f>Estimates!S39</f>
        <v/>
      </c>
      <c r="L38" s="99" t="e">
        <f t="shared" si="3"/>
        <v>#VALUE!</v>
      </c>
      <c r="M38" s="65"/>
    </row>
    <row r="39" spans="1:13" ht="16" thickBot="1" x14ac:dyDescent="0.25">
      <c r="A39" s="219">
        <v>11008590</v>
      </c>
      <c r="B39" s="153" t="b">
        <f t="shared" si="2"/>
        <v>0</v>
      </c>
      <c r="D39" s="223" t="str">
        <f>Estimates!E40</f>
        <v>Xonerate® 2SC Herbicide</v>
      </c>
      <c r="E39" s="224" t="str">
        <f>Estimates!F40</f>
        <v>12 oz</v>
      </c>
      <c r="F39" s="224" t="str">
        <f>Estimates!G40</f>
        <v>Herbicide</v>
      </c>
      <c r="G39" s="225">
        <f>Estimates!H40</f>
        <v>0</v>
      </c>
      <c r="H39" s="226">
        <f>Estimates!I40</f>
        <v>496.32</v>
      </c>
      <c r="I39" s="226">
        <f>Estimates!K40</f>
        <v>351.12</v>
      </c>
      <c r="J39" s="227" t="str">
        <f>Estimates!L40</f>
        <v/>
      </c>
      <c r="K39" s="228" t="str">
        <f>Estimates!S40</f>
        <v/>
      </c>
      <c r="L39" s="229" t="e">
        <f t="shared" si="3"/>
        <v>#VALUE!</v>
      </c>
      <c r="M39" s="65"/>
    </row>
    <row r="40" spans="1:13" x14ac:dyDescent="0.2">
      <c r="D40" s="101" t="s">
        <v>57</v>
      </c>
      <c r="E40" s="102"/>
      <c r="F40" s="102"/>
      <c r="G40" s="103"/>
      <c r="H40" s="103"/>
      <c r="I40" s="104"/>
      <c r="J40" s="105"/>
      <c r="K40" s="105"/>
      <c r="L40" s="105"/>
      <c r="M40" s="65"/>
    </row>
    <row r="41" spans="1:13" ht="16" thickBot="1" x14ac:dyDescent="0.25">
      <c r="D41" s="160"/>
      <c r="E41" s="102"/>
      <c r="F41" s="102"/>
      <c r="G41" s="103"/>
      <c r="H41" s="103"/>
      <c r="I41" s="104"/>
      <c r="J41" s="105"/>
      <c r="K41" s="105"/>
      <c r="L41" s="105"/>
      <c r="M41" s="65"/>
    </row>
    <row r="42" spans="1:13" ht="16" thickBot="1" x14ac:dyDescent="0.25">
      <c r="A42" s="216">
        <v>87300722</v>
      </c>
      <c r="B42" s="152" t="b">
        <f>G42&gt;0</f>
        <v>0</v>
      </c>
      <c r="D42" s="161" t="str">
        <f>Estimates!E45</f>
        <v>Acclaim Extra®</v>
      </c>
      <c r="E42" s="162" t="str">
        <f>Estimates!F45</f>
        <v>1 gal</v>
      </c>
      <c r="F42" s="162" t="str">
        <f>Estimates!G45</f>
        <v>Herbicide</v>
      </c>
      <c r="G42" s="235">
        <f>Estimates!H45</f>
        <v>0</v>
      </c>
      <c r="H42" s="236"/>
      <c r="I42" s="237" t="str">
        <f>IF(OR(G42=0,G42=""),"",Estimates!I45)</f>
        <v/>
      </c>
      <c r="J42" s="163" t="str">
        <f>Estimates!L45</f>
        <v/>
      </c>
      <c r="K42" s="163" t="str">
        <f>Estimates!P45</f>
        <v/>
      </c>
      <c r="L42" s="164" t="str">
        <f>Estimates!Q45</f>
        <v/>
      </c>
      <c r="M42" s="65"/>
    </row>
    <row r="43" spans="1:13" ht="16" thickBot="1" x14ac:dyDescent="0.25">
      <c r="A43" s="217">
        <v>7271250</v>
      </c>
      <c r="B43" s="152" t="b">
        <f t="shared" ref="B43:B65" si="4">G43&gt;0</f>
        <v>0</v>
      </c>
      <c r="D43" s="238" t="str">
        <f>Estimates!E46</f>
        <v>Acclaim Extra®</v>
      </c>
      <c r="E43" s="230" t="str">
        <f>Estimates!F46</f>
        <v>16 oz</v>
      </c>
      <c r="F43" s="230" t="str">
        <f>Estimates!G46</f>
        <v>Herbicide</v>
      </c>
      <c r="G43" s="231">
        <f>Estimates!H46</f>
        <v>0</v>
      </c>
      <c r="H43" s="232"/>
      <c r="I43" s="233" t="str">
        <f>IF(OR(G43=0,G43=""),"",Estimates!I46)</f>
        <v/>
      </c>
      <c r="J43" s="234" t="str">
        <f>Estimates!L46</f>
        <v/>
      </c>
      <c r="K43" s="234" t="str">
        <f>Estimates!P46</f>
        <v/>
      </c>
      <c r="L43" s="239" t="str">
        <f>Estimates!Q46</f>
        <v/>
      </c>
      <c r="M43" s="65"/>
    </row>
    <row r="44" spans="1:13" ht="16" thickBot="1" x14ac:dyDescent="0.25">
      <c r="A44" s="216" t="s">
        <v>68</v>
      </c>
      <c r="B44" s="152" t="b">
        <f t="shared" si="4"/>
        <v>0</v>
      </c>
      <c r="D44" s="238" t="str">
        <f>Estimates!E47</f>
        <v xml:space="preserve">Armada® 50 WDG </v>
      </c>
      <c r="E44" s="230" t="str">
        <f>Estimates!F47</f>
        <v>2 lb</v>
      </c>
      <c r="F44" s="230" t="str">
        <f>Estimates!G47</f>
        <v>Fungicide</v>
      </c>
      <c r="G44" s="231">
        <f>Estimates!H47</f>
        <v>0</v>
      </c>
      <c r="H44" s="232"/>
      <c r="I44" s="233" t="str">
        <f>IF(OR(G44=0,G44=""),"",Estimates!I47)</f>
        <v/>
      </c>
      <c r="J44" s="234" t="str">
        <f>Estimates!L47</f>
        <v/>
      </c>
      <c r="K44" s="234" t="str">
        <f>Estimates!P47</f>
        <v/>
      </c>
      <c r="L44" s="239" t="str">
        <f>Estimates!Q47</f>
        <v/>
      </c>
      <c r="M44" s="65"/>
    </row>
    <row r="45" spans="1:13" ht="16" thickBot="1" x14ac:dyDescent="0.25">
      <c r="A45" s="217">
        <v>11008351</v>
      </c>
      <c r="B45" s="152" t="b">
        <f t="shared" si="4"/>
        <v>0</v>
      </c>
      <c r="D45" s="238" t="str">
        <f>Estimates!E48</f>
        <v xml:space="preserve">Blindside® Herbicide </v>
      </c>
      <c r="E45" s="230" t="str">
        <f>Estimates!F48</f>
        <v>0.5 lb</v>
      </c>
      <c r="F45" s="230" t="str">
        <f>Estimates!G48</f>
        <v>Herbicide</v>
      </c>
      <c r="G45" s="231">
        <f>Estimates!H48</f>
        <v>0</v>
      </c>
      <c r="H45" s="232"/>
      <c r="I45" s="233" t="str">
        <f>IF(OR(G45=0,G45=""),"",Estimates!I48)</f>
        <v/>
      </c>
      <c r="J45" s="234" t="str">
        <f>Estimates!L48</f>
        <v/>
      </c>
      <c r="K45" s="234" t="str">
        <f>Estimates!P48</f>
        <v/>
      </c>
      <c r="L45" s="239" t="str">
        <f>Estimates!Q48</f>
        <v/>
      </c>
      <c r="M45" s="65"/>
    </row>
    <row r="46" spans="1:13" ht="16" thickBot="1" x14ac:dyDescent="0.25">
      <c r="A46" s="216">
        <v>11008357</v>
      </c>
      <c r="B46" s="152" t="b">
        <f t="shared" si="4"/>
        <v>0</v>
      </c>
      <c r="D46" s="238" t="str">
        <f>Estimates!E49</f>
        <v>Dismiss® CA Herbicide</v>
      </c>
      <c r="E46" s="230" t="str">
        <f>Estimates!F49</f>
        <v>6 oz</v>
      </c>
      <c r="F46" s="230" t="str">
        <f>Estimates!G49</f>
        <v>Herbicide</v>
      </c>
      <c r="G46" s="231">
        <f>Estimates!H49</f>
        <v>0</v>
      </c>
      <c r="H46" s="232"/>
      <c r="I46" s="233" t="str">
        <f>IF(OR(G46=0,G46=""),"",Estimates!I49)</f>
        <v/>
      </c>
      <c r="J46" s="234" t="str">
        <f>Estimates!L49</f>
        <v/>
      </c>
      <c r="K46" s="234" t="str">
        <f>Estimates!P49</f>
        <v/>
      </c>
      <c r="L46" s="239" t="str">
        <f>Estimates!Q49</f>
        <v/>
      </c>
      <c r="M46" s="65"/>
    </row>
    <row r="47" spans="1:13" ht="16" thickBot="1" x14ac:dyDescent="0.25">
      <c r="A47" s="217">
        <v>11008474</v>
      </c>
      <c r="B47" s="152" t="b">
        <f t="shared" si="4"/>
        <v>0</v>
      </c>
      <c r="D47" s="238" t="str">
        <f>Estimates!E50</f>
        <v>Dismiss® South Herbicide</v>
      </c>
      <c r="E47" s="230" t="str">
        <f>Estimates!F50</f>
        <v xml:space="preserve">1 pint </v>
      </c>
      <c r="F47" s="230" t="str">
        <f>Estimates!G50</f>
        <v>Herbicide</v>
      </c>
      <c r="G47" s="231">
        <f>Estimates!H50</f>
        <v>0</v>
      </c>
      <c r="H47" s="232"/>
      <c r="I47" s="233" t="str">
        <f>IF(OR(G47=0,G47=""),"",Estimates!I50)</f>
        <v/>
      </c>
      <c r="J47" s="234" t="str">
        <f>Estimates!L50</f>
        <v/>
      </c>
      <c r="K47" s="234" t="str">
        <f>Estimates!P50</f>
        <v/>
      </c>
      <c r="L47" s="239" t="str">
        <f>Estimates!Q50</f>
        <v/>
      </c>
      <c r="M47" s="65"/>
    </row>
    <row r="48" spans="1:13" ht="16" thickBot="1" x14ac:dyDescent="0.25">
      <c r="A48" s="216">
        <v>11008475</v>
      </c>
      <c r="B48" s="152" t="b">
        <f t="shared" si="4"/>
        <v>0</v>
      </c>
      <c r="D48" s="238" t="str">
        <f>Estimates!E51</f>
        <v>Dismiss® Turf Herbicide</v>
      </c>
      <c r="E48" s="230" t="str">
        <f>Estimates!F51</f>
        <v>6 oz</v>
      </c>
      <c r="F48" s="230" t="str">
        <f>Estimates!G51</f>
        <v>Herbicide</v>
      </c>
      <c r="G48" s="231">
        <f>Estimates!H51</f>
        <v>0</v>
      </c>
      <c r="H48" s="232"/>
      <c r="I48" s="233" t="str">
        <f>IF(OR(G48=0,G48=""),"",Estimates!I51)</f>
        <v/>
      </c>
      <c r="J48" s="234" t="str">
        <f>Estimates!L51</f>
        <v/>
      </c>
      <c r="K48" s="234" t="str">
        <f>Estimates!P51</f>
        <v/>
      </c>
      <c r="L48" s="239" t="str">
        <f>Estimates!Q51</f>
        <v/>
      </c>
      <c r="M48" s="65"/>
    </row>
    <row r="49" spans="1:13" ht="16" thickBot="1" x14ac:dyDescent="0.25">
      <c r="A49" s="217">
        <v>11008336</v>
      </c>
      <c r="B49" s="152" t="b">
        <f t="shared" si="4"/>
        <v>0</v>
      </c>
      <c r="D49" s="238" t="str">
        <f>Estimates!E52</f>
        <v>Dismiss® Turf Herbicide</v>
      </c>
      <c r="E49" s="230" t="str">
        <f>Estimates!F52</f>
        <v>64 oz</v>
      </c>
      <c r="F49" s="230" t="str">
        <f>Estimates!G52</f>
        <v>Herbicide</v>
      </c>
      <c r="G49" s="231">
        <f>Estimates!H52</f>
        <v>0</v>
      </c>
      <c r="H49" s="232"/>
      <c r="I49" s="233" t="str">
        <f>IF(OR(G49=0,G49=""),"",Estimates!I52)</f>
        <v/>
      </c>
      <c r="J49" s="234" t="str">
        <f>Estimates!L52</f>
        <v/>
      </c>
      <c r="K49" s="234" t="str">
        <f>Estimates!P52</f>
        <v/>
      </c>
      <c r="L49" s="239" t="str">
        <f>Estimates!Q52</f>
        <v/>
      </c>
      <c r="M49" s="65"/>
    </row>
    <row r="50" spans="1:13" ht="16" thickBot="1" x14ac:dyDescent="0.25">
      <c r="A50" s="216" t="s">
        <v>69</v>
      </c>
      <c r="B50" s="152" t="b">
        <f t="shared" si="4"/>
        <v>0</v>
      </c>
      <c r="D50" s="238" t="str">
        <f>Estimates!E53</f>
        <v>Durentis® 0.058% On-Fertilizer</v>
      </c>
      <c r="E50" s="230" t="str">
        <f>Estimates!F53</f>
        <v>50 lb</v>
      </c>
      <c r="F50" s="230" t="str">
        <f>Estimates!G53</f>
        <v>Insecticide</v>
      </c>
      <c r="G50" s="231">
        <f>Estimates!H53</f>
        <v>0</v>
      </c>
      <c r="H50" s="232"/>
      <c r="I50" s="233" t="str">
        <f>IF(OR(G50=0,G50=""),"",Estimates!I53)</f>
        <v/>
      </c>
      <c r="J50" s="234" t="str">
        <f>Estimates!L53</f>
        <v/>
      </c>
      <c r="K50" s="234" t="str">
        <f>Estimates!P53</f>
        <v/>
      </c>
      <c r="L50" s="239" t="str">
        <f>Estimates!Q53</f>
        <v/>
      </c>
      <c r="M50" s="65"/>
    </row>
    <row r="51" spans="1:13" ht="16" thickBot="1" x14ac:dyDescent="0.25">
      <c r="A51" s="217" t="s">
        <v>70</v>
      </c>
      <c r="B51" s="152" t="b">
        <f t="shared" si="4"/>
        <v>0</v>
      </c>
      <c r="D51" s="238" t="str">
        <f>Estimates!E54</f>
        <v>Durentis® 0.067% On-Fertilizer</v>
      </c>
      <c r="E51" s="230" t="str">
        <f>Estimates!F54</f>
        <v>50 lb</v>
      </c>
      <c r="F51" s="230" t="str">
        <f>Estimates!G54</f>
        <v>Insecticide</v>
      </c>
      <c r="G51" s="231">
        <f>Estimates!H54</f>
        <v>0</v>
      </c>
      <c r="H51" s="232"/>
      <c r="I51" s="233" t="str">
        <f>IF(OR(G51=0,G51=""),"",Estimates!I54)</f>
        <v/>
      </c>
      <c r="J51" s="234" t="str">
        <f>Estimates!L54</f>
        <v/>
      </c>
      <c r="K51" s="234" t="str">
        <f>Estimates!P54</f>
        <v/>
      </c>
      <c r="L51" s="239" t="str">
        <f>Estimates!Q54</f>
        <v/>
      </c>
      <c r="M51" s="65"/>
    </row>
    <row r="52" spans="1:13" ht="16" thickBot="1" x14ac:dyDescent="0.25">
      <c r="A52" s="216" t="s">
        <v>71</v>
      </c>
      <c r="B52" s="152" t="b">
        <f t="shared" si="4"/>
        <v>0</v>
      </c>
      <c r="D52" s="238" t="str">
        <f>Estimates!E55</f>
        <v xml:space="preserve">Dylox® 420 SL </v>
      </c>
      <c r="E52" s="230" t="str">
        <f>Estimates!F55</f>
        <v xml:space="preserve">2.5 gal </v>
      </c>
      <c r="F52" s="230" t="str">
        <f>Estimates!G55</f>
        <v>Insecticide</v>
      </c>
      <c r="G52" s="231">
        <f>Estimates!H55</f>
        <v>0</v>
      </c>
      <c r="H52" s="232"/>
      <c r="I52" s="233" t="str">
        <f>IF(OR(G52=0,G52=""),"",Estimates!I55)</f>
        <v/>
      </c>
      <c r="J52" s="234" t="str">
        <f>Estimates!L55</f>
        <v/>
      </c>
      <c r="K52" s="234" t="str">
        <f>Estimates!P55</f>
        <v/>
      </c>
      <c r="L52" s="239" t="str">
        <f>Estimates!Q55</f>
        <v/>
      </c>
      <c r="M52" s="65"/>
    </row>
    <row r="53" spans="1:13" ht="16" thickBot="1" x14ac:dyDescent="0.25">
      <c r="A53" s="217" t="s">
        <v>72</v>
      </c>
      <c r="B53" s="152" t="b">
        <f t="shared" si="4"/>
        <v>0</v>
      </c>
      <c r="D53" s="238" t="str">
        <f>Estimates!E56</f>
        <v>Dylox® 6.2 G</v>
      </c>
      <c r="E53" s="230" t="str">
        <f>Estimates!F56</f>
        <v>30 lb</v>
      </c>
      <c r="F53" s="230" t="str">
        <f>Estimates!G56</f>
        <v>Insecticide</v>
      </c>
      <c r="G53" s="231">
        <f>Estimates!H56</f>
        <v>0</v>
      </c>
      <c r="H53" s="232"/>
      <c r="I53" s="233" t="str">
        <f>IF(OR(G53=0,G53=""),"",Estimates!I56)</f>
        <v/>
      </c>
      <c r="J53" s="234" t="str">
        <f>Estimates!L56</f>
        <v/>
      </c>
      <c r="K53" s="234" t="str">
        <f>Estimates!P56</f>
        <v/>
      </c>
      <c r="L53" s="239" t="str">
        <f>Estimates!Q56</f>
        <v/>
      </c>
      <c r="M53" s="65"/>
    </row>
    <row r="54" spans="1:13" ht="16" thickBot="1" x14ac:dyDescent="0.25">
      <c r="A54" s="216" t="s">
        <v>73</v>
      </c>
      <c r="B54" s="152" t="b">
        <f t="shared" si="4"/>
        <v>0</v>
      </c>
      <c r="D54" s="238" t="str">
        <f>Estimates!E57</f>
        <v>Merit® 2F®</v>
      </c>
      <c r="E54" s="230" t="str">
        <f>Estimates!F57</f>
        <v>1 gal</v>
      </c>
      <c r="F54" s="230" t="str">
        <f>Estimates!G57</f>
        <v>Insecticide</v>
      </c>
      <c r="G54" s="231">
        <f>Estimates!H57</f>
        <v>0</v>
      </c>
      <c r="H54" s="232"/>
      <c r="I54" s="233" t="str">
        <f>IF(OR(G54=0,G54=""),"",Estimates!I57)</f>
        <v/>
      </c>
      <c r="J54" s="234" t="str">
        <f>Estimates!L57</f>
        <v/>
      </c>
      <c r="K54" s="234" t="str">
        <f>Estimates!P57</f>
        <v/>
      </c>
      <c r="L54" s="239" t="str">
        <f>Estimates!Q57</f>
        <v/>
      </c>
      <c r="M54" s="65"/>
    </row>
    <row r="55" spans="1:13" ht="16" thickBot="1" x14ac:dyDescent="0.25">
      <c r="A55" s="217" t="s">
        <v>74</v>
      </c>
      <c r="B55" s="152" t="b">
        <f t="shared" si="4"/>
        <v>0</v>
      </c>
      <c r="D55" s="238" t="str">
        <f>Estimates!E58</f>
        <v>Merit WP 75</v>
      </c>
      <c r="E55" s="230" t="str">
        <f>Estimates!F58</f>
        <v>1.6 oz</v>
      </c>
      <c r="F55" s="230" t="str">
        <f>Estimates!G58</f>
        <v>Insecticide</v>
      </c>
      <c r="G55" s="231">
        <f>Estimates!H58</f>
        <v>0</v>
      </c>
      <c r="H55" s="232"/>
      <c r="I55" s="233" t="str">
        <f>IF(OR(G55=0,G55=""),"",Estimates!I58)</f>
        <v/>
      </c>
      <c r="J55" s="234" t="str">
        <f>Estimates!L58</f>
        <v/>
      </c>
      <c r="K55" s="234" t="str">
        <f>Estimates!P58</f>
        <v/>
      </c>
      <c r="L55" s="239" t="str">
        <f>Estimates!Q58</f>
        <v/>
      </c>
      <c r="M55" s="65"/>
    </row>
    <row r="56" spans="1:13" ht="16" thickBot="1" x14ac:dyDescent="0.25">
      <c r="A56" s="216">
        <v>11008447</v>
      </c>
      <c r="B56" s="152" t="b">
        <f t="shared" si="4"/>
        <v>0</v>
      </c>
      <c r="D56" s="238" t="str">
        <f>Estimates!E59</f>
        <v xml:space="preserve">QuickSilver® Herbicide </v>
      </c>
      <c r="E56" s="230" t="str">
        <f>Estimates!F59</f>
        <v>8 oz</v>
      </c>
      <c r="F56" s="230" t="str">
        <f>Estimates!G59</f>
        <v>Herbicide</v>
      </c>
      <c r="G56" s="231">
        <f>Estimates!H59</f>
        <v>0</v>
      </c>
      <c r="H56" s="232"/>
      <c r="I56" s="233" t="str">
        <f>IF(OR(G56=0,G56=""),"",Estimates!I59)</f>
        <v/>
      </c>
      <c r="J56" s="234" t="str">
        <f>Estimates!L59</f>
        <v/>
      </c>
      <c r="K56" s="234" t="str">
        <f>Estimates!P59</f>
        <v/>
      </c>
      <c r="L56" s="239" t="str">
        <f>Estimates!Q59</f>
        <v/>
      </c>
      <c r="M56" s="65"/>
    </row>
    <row r="57" spans="1:13" ht="16" thickBot="1" x14ac:dyDescent="0.25">
      <c r="A57" s="217">
        <v>79850980</v>
      </c>
      <c r="B57" s="152" t="b">
        <f t="shared" si="4"/>
        <v>0</v>
      </c>
      <c r="D57" s="238" t="str">
        <f>Estimates!E60</f>
        <v>Revolver®</v>
      </c>
      <c r="E57" s="230" t="str">
        <f>Estimates!F60</f>
        <v>32 fl oz</v>
      </c>
      <c r="F57" s="230" t="str">
        <f>Estimates!G60</f>
        <v>Herbicide</v>
      </c>
      <c r="G57" s="231">
        <f>Estimates!H60</f>
        <v>0</v>
      </c>
      <c r="H57" s="232"/>
      <c r="I57" s="233" t="str">
        <f>IF(OR(G57=0,G57=""),"",Estimates!I60)</f>
        <v/>
      </c>
      <c r="J57" s="234" t="str">
        <f>Estimates!L60</f>
        <v/>
      </c>
      <c r="K57" s="234" t="str">
        <f>Estimates!P60</f>
        <v/>
      </c>
      <c r="L57" s="239" t="str">
        <f>Estimates!Q60</f>
        <v/>
      </c>
      <c r="M57" s="65"/>
    </row>
    <row r="58" spans="1:13" ht="16" thickBot="1" x14ac:dyDescent="0.25">
      <c r="A58" s="216">
        <v>11008482</v>
      </c>
      <c r="B58" s="152" t="b">
        <f t="shared" si="4"/>
        <v>0</v>
      </c>
      <c r="D58" s="238" t="str">
        <f>Estimates!E61</f>
        <v xml:space="preserve">Solitare® Herbicide </v>
      </c>
      <c r="E58" s="230" t="str">
        <f>Estimates!F61</f>
        <v xml:space="preserve">1 lb </v>
      </c>
      <c r="F58" s="230" t="str">
        <f>Estimates!G61</f>
        <v>Herbicide</v>
      </c>
      <c r="G58" s="231">
        <f>Estimates!H61</f>
        <v>0</v>
      </c>
      <c r="H58" s="232"/>
      <c r="I58" s="233" t="str">
        <f>IF(OR(G58=0,G58=""),"",Estimates!I61)</f>
        <v/>
      </c>
      <c r="J58" s="234" t="str">
        <f>Estimates!L61</f>
        <v/>
      </c>
      <c r="K58" s="234" t="str">
        <f>Estimates!P61</f>
        <v/>
      </c>
      <c r="L58" s="239" t="str">
        <f>Estimates!Q61</f>
        <v/>
      </c>
      <c r="M58" s="65"/>
    </row>
    <row r="59" spans="1:13" ht="16" thickBot="1" x14ac:dyDescent="0.25">
      <c r="A59" s="217">
        <v>11008369</v>
      </c>
      <c r="B59" s="152" t="b">
        <f t="shared" si="4"/>
        <v>0</v>
      </c>
      <c r="D59" s="238" t="str">
        <f>Estimates!E62</f>
        <v>Solitare® WSL Herbicide</v>
      </c>
      <c r="E59" s="230" t="str">
        <f>Estimates!F62</f>
        <v xml:space="preserve">0.75 gal </v>
      </c>
      <c r="F59" s="230" t="str">
        <f>Estimates!G62</f>
        <v>Herbicide</v>
      </c>
      <c r="G59" s="231">
        <f>Estimates!H62</f>
        <v>0</v>
      </c>
      <c r="H59" s="232"/>
      <c r="I59" s="233" t="str">
        <f>IF(OR(G59=0,G59=""),"",Estimates!I62)</f>
        <v/>
      </c>
      <c r="J59" s="234" t="str">
        <f>Estimates!L62</f>
        <v/>
      </c>
      <c r="K59" s="234" t="str">
        <f>Estimates!P62</f>
        <v/>
      </c>
      <c r="L59" s="239" t="str">
        <f>Estimates!Q62</f>
        <v/>
      </c>
      <c r="M59" s="65"/>
    </row>
    <row r="60" spans="1:13" ht="16" thickBot="1" x14ac:dyDescent="0.25">
      <c r="A60" s="216" t="s">
        <v>75</v>
      </c>
      <c r="B60" s="152" t="b">
        <f t="shared" si="4"/>
        <v>0</v>
      </c>
      <c r="D60" s="238" t="str">
        <f>Estimates!E63</f>
        <v>Terradex®  Power Premix</v>
      </c>
      <c r="E60" s="230" t="str">
        <f>Estimates!F63</f>
        <v>2.5 gal</v>
      </c>
      <c r="F60" s="230" t="str">
        <f>Estimates!G63</f>
        <v>Herbicide</v>
      </c>
      <c r="G60" s="231">
        <f>Estimates!H63</f>
        <v>0</v>
      </c>
      <c r="H60" s="232"/>
      <c r="I60" s="233" t="str">
        <f>IF(OR(G60=0,G60=""),"",Estimates!I63)</f>
        <v/>
      </c>
      <c r="J60" s="234" t="str">
        <f>Estimates!L63</f>
        <v/>
      </c>
      <c r="K60" s="234" t="str">
        <f>Estimates!P63</f>
        <v/>
      </c>
      <c r="L60" s="239" t="str">
        <f>Estimates!Q63</f>
        <v/>
      </c>
      <c r="M60" s="65"/>
    </row>
    <row r="61" spans="1:13" ht="16" thickBot="1" x14ac:dyDescent="0.25">
      <c r="A61" s="217" t="s">
        <v>76</v>
      </c>
      <c r="B61" s="152" t="b">
        <f t="shared" si="4"/>
        <v>0</v>
      </c>
      <c r="D61" s="238" t="str">
        <f>Estimates!E64</f>
        <v>Terradex®  Power Premix</v>
      </c>
      <c r="E61" s="230" t="str">
        <f>Estimates!F64</f>
        <v>30 gal</v>
      </c>
      <c r="F61" s="230" t="str">
        <f>Estimates!G64</f>
        <v>Herbicide</v>
      </c>
      <c r="G61" s="231">
        <f>Estimates!H64</f>
        <v>0</v>
      </c>
      <c r="H61" s="232"/>
      <c r="I61" s="233" t="str">
        <f>IF(OR(G61=0,G61=""),"",Estimates!I64)</f>
        <v/>
      </c>
      <c r="J61" s="234" t="str">
        <f>Estimates!L64</f>
        <v/>
      </c>
      <c r="K61" s="234" t="str">
        <f>Estimates!P64</f>
        <v/>
      </c>
      <c r="L61" s="239" t="str">
        <f>Estimates!Q64</f>
        <v/>
      </c>
      <c r="M61" s="65"/>
    </row>
    <row r="62" spans="1:13" ht="16" thickBot="1" x14ac:dyDescent="0.25">
      <c r="A62" s="216" t="s">
        <v>77</v>
      </c>
      <c r="B62" s="152" t="b">
        <f t="shared" si="4"/>
        <v>0</v>
      </c>
      <c r="D62" s="238" t="str">
        <f>Estimates!E65</f>
        <v>Terradex®  Quick Strike</v>
      </c>
      <c r="E62" s="230" t="str">
        <f>Estimates!F65</f>
        <v>1 gal</v>
      </c>
      <c r="F62" s="230" t="str">
        <f>Estimates!G65</f>
        <v>Herbicide</v>
      </c>
      <c r="G62" s="231">
        <f>Estimates!H65</f>
        <v>0</v>
      </c>
      <c r="H62" s="232"/>
      <c r="I62" s="233" t="str">
        <f>IF(OR(G62=0,G62=""),"",Estimates!I65)</f>
        <v/>
      </c>
      <c r="J62" s="234" t="str">
        <f>Estimates!L65</f>
        <v/>
      </c>
      <c r="K62" s="234" t="str">
        <f>Estimates!P65</f>
        <v/>
      </c>
      <c r="L62" s="239" t="str">
        <f>Estimates!Q65</f>
        <v/>
      </c>
      <c r="M62" s="65"/>
    </row>
    <row r="63" spans="1:13" ht="16" thickBot="1" x14ac:dyDescent="0.25">
      <c r="A63" s="217" t="s">
        <v>78</v>
      </c>
      <c r="B63" s="152" t="b">
        <f t="shared" si="4"/>
        <v>0</v>
      </c>
      <c r="D63" s="238" t="str">
        <f>Estimates!E66</f>
        <v>Terradex®  Quick Strike</v>
      </c>
      <c r="E63" s="230" t="str">
        <f>Estimates!F66</f>
        <v>2.5 gal</v>
      </c>
      <c r="F63" s="230" t="str">
        <f>Estimates!G66</f>
        <v>Herbicide</v>
      </c>
      <c r="G63" s="231">
        <f>Estimates!H66</f>
        <v>0</v>
      </c>
      <c r="H63" s="232"/>
      <c r="I63" s="233" t="str">
        <f>IF(OR(G63=0,G63=""),"",Estimates!I66)</f>
        <v/>
      </c>
      <c r="J63" s="234" t="str">
        <f>Estimates!L66</f>
        <v/>
      </c>
      <c r="K63" s="234" t="str">
        <f>Estimates!P66</f>
        <v/>
      </c>
      <c r="L63" s="239" t="str">
        <f>Estimates!Q66</f>
        <v/>
      </c>
      <c r="M63" s="65"/>
    </row>
    <row r="64" spans="1:13" ht="16" thickBot="1" x14ac:dyDescent="0.25">
      <c r="A64" s="216" t="s">
        <v>79</v>
      </c>
      <c r="B64" s="152" t="b">
        <f t="shared" si="4"/>
        <v>0</v>
      </c>
      <c r="D64" s="238" t="str">
        <f>Estimates!E67</f>
        <v>Terradex®  Quick Strike</v>
      </c>
      <c r="E64" s="230" t="str">
        <f>Estimates!F67</f>
        <v>30 gal</v>
      </c>
      <c r="F64" s="230" t="str">
        <f>Estimates!G67</f>
        <v>Herbicide</v>
      </c>
      <c r="G64" s="231">
        <f>Estimates!H67</f>
        <v>0</v>
      </c>
      <c r="H64" s="232"/>
      <c r="I64" s="233" t="str">
        <f>IF(OR(G64=0,G64=""),"",Estimates!I67)</f>
        <v/>
      </c>
      <c r="J64" s="234" t="str">
        <f>Estimates!L67</f>
        <v/>
      </c>
      <c r="K64" s="234" t="str">
        <f>Estimates!P67</f>
        <v/>
      </c>
      <c r="L64" s="239" t="str">
        <f>Estimates!Q67</f>
        <v/>
      </c>
      <c r="M64" s="65"/>
    </row>
    <row r="65" spans="1:16" ht="16" thickBot="1" x14ac:dyDescent="0.25">
      <c r="A65" s="221" t="s">
        <v>80</v>
      </c>
      <c r="B65" s="152" t="b">
        <f t="shared" si="4"/>
        <v>1</v>
      </c>
      <c r="D65" s="240" t="str">
        <f>Estimates!E68</f>
        <v>TopChoice®</v>
      </c>
      <c r="E65" s="241" t="str">
        <f>Estimates!F68</f>
        <v>50 lb</v>
      </c>
      <c r="F65" s="241" t="str">
        <f>Estimates!G68</f>
        <v>Insecticide</v>
      </c>
      <c r="G65" s="242">
        <f>Estimates!H68</f>
        <v>1000</v>
      </c>
      <c r="H65" s="243"/>
      <c r="I65" s="244">
        <f>IF(OR(G65=0,G65=""),"",Estimates!I68)</f>
        <v>200</v>
      </c>
      <c r="J65" s="245">
        <f>Estimates!L68</f>
        <v>200000</v>
      </c>
      <c r="K65" s="245">
        <f>Estimates!P68</f>
        <v>198000</v>
      </c>
      <c r="L65" s="246">
        <f>Estimates!Q68</f>
        <v>198</v>
      </c>
      <c r="M65" s="65"/>
    </row>
    <row r="66" spans="1:16" x14ac:dyDescent="0.2">
      <c r="D66" s="73"/>
      <c r="E66" s="73"/>
      <c r="F66" s="73"/>
      <c r="G66" s="73"/>
      <c r="H66" s="65"/>
      <c r="I66" s="65"/>
      <c r="J66" s="65"/>
      <c r="K66" s="65"/>
      <c r="L66" s="65"/>
      <c r="M66" s="65"/>
    </row>
    <row r="67" spans="1:16" x14ac:dyDescent="0.2">
      <c r="D67" s="73"/>
      <c r="E67" s="73"/>
      <c r="F67" s="73"/>
      <c r="G67" s="73"/>
      <c r="H67" s="65"/>
      <c r="I67" s="65"/>
      <c r="J67" s="65"/>
      <c r="K67" s="65"/>
      <c r="L67" s="65"/>
      <c r="M67" s="65"/>
    </row>
    <row r="68" spans="1:16" ht="22" thickBot="1" x14ac:dyDescent="0.3">
      <c r="A68" s="100"/>
      <c r="B68" s="100"/>
      <c r="C68" s="100"/>
      <c r="D68" s="106" t="s">
        <v>82</v>
      </c>
      <c r="E68" s="72"/>
      <c r="F68" s="72"/>
      <c r="G68" s="72"/>
      <c r="H68" s="72"/>
      <c r="I68" s="72"/>
      <c r="J68" s="72"/>
      <c r="K68" s="72"/>
      <c r="L68" s="72"/>
      <c r="N68" s="65"/>
      <c r="O68" s="65"/>
      <c r="P68" s="65"/>
    </row>
    <row r="69" spans="1:16" ht="16" thickTop="1" x14ac:dyDescent="0.2">
      <c r="A69" s="100"/>
      <c r="B69" s="100"/>
      <c r="C69" s="100"/>
      <c r="D69" s="150" t="s">
        <v>83</v>
      </c>
      <c r="E69" s="150"/>
      <c r="F69" s="150"/>
      <c r="G69" s="150"/>
      <c r="H69" s="150"/>
      <c r="I69" s="150"/>
      <c r="J69" s="150"/>
      <c r="K69" s="150"/>
      <c r="L69" s="151"/>
      <c r="N69" s="65"/>
      <c r="O69" s="65"/>
      <c r="P69" s="65"/>
    </row>
    <row r="70" spans="1:16" ht="16" thickBot="1" x14ac:dyDescent="0.25">
      <c r="A70" s="100"/>
      <c r="B70" s="100"/>
      <c r="C70" s="100"/>
      <c r="D70" s="151"/>
      <c r="E70" s="151"/>
      <c r="F70" s="151"/>
      <c r="G70" s="151"/>
      <c r="H70" s="151"/>
      <c r="I70" s="151"/>
      <c r="J70" s="151"/>
      <c r="K70" s="151"/>
      <c r="L70" s="151"/>
      <c r="N70" s="65"/>
      <c r="O70" s="65"/>
      <c r="P70" s="65"/>
    </row>
    <row r="71" spans="1:16" x14ac:dyDescent="0.2">
      <c r="A71" s="100"/>
      <c r="B71" s="100"/>
      <c r="C71" s="100"/>
      <c r="D71" s="383" t="str">
        <f>Estimates!D78</f>
        <v xml:space="preserve">  Estimated Total Before Off Invoice Discounts:</v>
      </c>
      <c r="E71" s="384"/>
      <c r="F71" s="384"/>
      <c r="G71" s="384"/>
      <c r="H71" s="384"/>
      <c r="I71" s="379">
        <f>Estimates!G78</f>
        <v>200000</v>
      </c>
      <c r="J71" s="380"/>
      <c r="K71" s="65"/>
      <c r="L71" s="65"/>
      <c r="N71" s="65"/>
      <c r="O71" s="65"/>
      <c r="P71" s="65"/>
    </row>
    <row r="72" spans="1:16" x14ac:dyDescent="0.2">
      <c r="A72" s="100"/>
      <c r="B72" s="100"/>
      <c r="C72" s="100"/>
      <c r="D72" s="362" t="str">
        <f>Estimates!D79</f>
        <v xml:space="preserve">  Estimated Invoice Total:</v>
      </c>
      <c r="E72" s="363"/>
      <c r="F72" s="363"/>
      <c r="G72" s="363"/>
      <c r="H72" s="363"/>
      <c r="I72" s="381">
        <f>Estimates!G79</f>
        <v>200000</v>
      </c>
      <c r="J72" s="382"/>
      <c r="K72" s="65"/>
      <c r="L72" s="65"/>
      <c r="N72" s="65"/>
      <c r="O72" s="65"/>
      <c r="P72" s="65"/>
    </row>
    <row r="73" spans="1:16" x14ac:dyDescent="0.2">
      <c r="A73" s="100"/>
      <c r="B73" s="100"/>
      <c r="C73" s="100"/>
      <c r="D73" s="362" t="str">
        <f>Estimates!D80</f>
        <v>Estimated Off-Invoice Discount:</v>
      </c>
      <c r="E73" s="363"/>
      <c r="F73" s="363"/>
      <c r="G73" s="363"/>
      <c r="H73" s="363"/>
      <c r="I73" s="91">
        <f>Estimates!G80</f>
        <v>0</v>
      </c>
      <c r="J73" s="266">
        <f>Estimates!H80</f>
        <v>0</v>
      </c>
      <c r="K73" s="65"/>
      <c r="L73" s="65"/>
      <c r="N73" s="65"/>
      <c r="O73" s="65"/>
      <c r="P73" s="65"/>
    </row>
    <row r="74" spans="1:16" x14ac:dyDescent="0.2">
      <c r="A74" s="100"/>
      <c r="B74" s="100"/>
      <c r="C74" s="100"/>
      <c r="D74" s="364" t="str">
        <f>Estimates!D81</f>
        <v>Volume Buy Rebate, Envu Extras &amp; Tier Rebates:</v>
      </c>
      <c r="E74" s="365"/>
      <c r="F74" s="365"/>
      <c r="G74" s="365"/>
      <c r="H74" s="365"/>
      <c r="I74" s="138"/>
      <c r="J74" s="267"/>
      <c r="K74" s="65"/>
      <c r="L74" s="65"/>
      <c r="N74" s="65"/>
      <c r="O74" s="65"/>
      <c r="P74" s="65"/>
    </row>
    <row r="75" spans="1:16" x14ac:dyDescent="0.2">
      <c r="A75" s="100"/>
      <c r="B75" s="100"/>
      <c r="C75" s="100"/>
      <c r="D75" s="366" t="str">
        <f>Estimates!D82</f>
        <v>Estimated Total Volume Buy Rebate:</v>
      </c>
      <c r="E75" s="367"/>
      <c r="F75" s="367"/>
      <c r="G75" s="367"/>
      <c r="H75" s="367"/>
      <c r="I75" s="88">
        <f>Estimates!G82</f>
        <v>0.01</v>
      </c>
      <c r="J75" s="265">
        <f>Estimates!H82</f>
        <v>2000</v>
      </c>
      <c r="K75" s="65"/>
      <c r="L75" s="65"/>
      <c r="N75" s="65"/>
      <c r="O75" s="65"/>
      <c r="P75" s="65"/>
    </row>
    <row r="76" spans="1:16" x14ac:dyDescent="0.2">
      <c r="A76" s="100"/>
      <c r="B76" s="100"/>
      <c r="C76" s="100"/>
      <c r="D76" s="366" t="str">
        <f>Estimates!D83</f>
        <v>Estimated Tier Rebate Amount:</v>
      </c>
      <c r="E76" s="367"/>
      <c r="F76" s="367"/>
      <c r="G76" s="367"/>
      <c r="H76" s="367"/>
      <c r="I76" s="88">
        <f>Estimates!G83</f>
        <v>0.06</v>
      </c>
      <c r="J76" s="265">
        <f>Estimates!H83</f>
        <v>0</v>
      </c>
      <c r="K76" s="65"/>
      <c r="L76" s="65"/>
      <c r="N76" s="65"/>
      <c r="O76" s="65"/>
      <c r="P76" s="65"/>
    </row>
    <row r="77" spans="1:16" x14ac:dyDescent="0.2">
      <c r="A77" s="100"/>
      <c r="B77" s="100"/>
      <c r="C77" s="100"/>
      <c r="D77" s="366" t="str">
        <f>Estimates!D84</f>
        <v>Estimated Dismiss NXT Rebate (8+ units):</v>
      </c>
      <c r="E77" s="367"/>
      <c r="F77" s="367"/>
      <c r="G77" s="367"/>
      <c r="H77" s="367"/>
      <c r="I77" s="88" t="str">
        <f>Estimates!G84</f>
        <v>n/a</v>
      </c>
      <c r="J77" s="265" t="str">
        <f>Estimates!H84</f>
        <v>n/a</v>
      </c>
      <c r="K77" s="65"/>
      <c r="L77" s="65"/>
      <c r="N77" s="65"/>
      <c r="O77" s="65"/>
      <c r="P77" s="65"/>
    </row>
    <row r="78" spans="1:16" x14ac:dyDescent="0.2">
      <c r="A78" s="100"/>
      <c r="B78" s="100"/>
      <c r="C78" s="100"/>
      <c r="D78" s="366" t="str">
        <f>Estimates!D85</f>
        <v>Estimated Scion Rebate (16+ units):</v>
      </c>
      <c r="E78" s="367"/>
      <c r="F78" s="367"/>
      <c r="G78" s="367"/>
      <c r="H78" s="367"/>
      <c r="I78" s="88" t="str">
        <f>Estimates!G85</f>
        <v>n/a</v>
      </c>
      <c r="J78" s="265" t="str">
        <f>Estimates!H85</f>
        <v>n/a</v>
      </c>
      <c r="K78" s="65"/>
      <c r="L78" s="65"/>
      <c r="N78" s="65"/>
      <c r="O78" s="65"/>
      <c r="P78" s="65"/>
    </row>
    <row r="79" spans="1:16" x14ac:dyDescent="0.2">
      <c r="A79" s="100"/>
      <c r="B79" s="100"/>
      <c r="C79" s="100"/>
      <c r="D79" s="366" t="str">
        <f>Estimates!D86</f>
        <v>October Bonus</v>
      </c>
      <c r="E79" s="367"/>
      <c r="F79" s="367"/>
      <c r="G79" s="367"/>
      <c r="H79" s="367"/>
      <c r="I79" s="88">
        <f>Estimates!G86</f>
        <v>0.02</v>
      </c>
      <c r="J79" s="265" t="str">
        <f>Estimates!H86</f>
        <v>n/a</v>
      </c>
      <c r="K79" s="65"/>
      <c r="L79" s="65"/>
      <c r="N79" s="65"/>
      <c r="O79" s="65"/>
      <c r="P79" s="65"/>
    </row>
    <row r="80" spans="1:16" x14ac:dyDescent="0.2">
      <c r="A80" s="100"/>
      <c r="B80" s="100"/>
      <c r="C80" s="100"/>
      <c r="D80" s="366" t="str">
        <f>Estimates!D87</f>
        <v>Estimated Total Rebate:</v>
      </c>
      <c r="E80" s="367"/>
      <c r="F80" s="367"/>
      <c r="G80" s="367"/>
      <c r="H80" s="367"/>
      <c r="I80" s="88">
        <f>Estimates!G87</f>
        <v>0.09</v>
      </c>
      <c r="J80" s="265">
        <f>Estimates!H87</f>
        <v>2000</v>
      </c>
      <c r="K80" s="65"/>
      <c r="L80" s="65"/>
      <c r="N80" s="65"/>
      <c r="O80" s="65"/>
      <c r="P80" s="65"/>
    </row>
    <row r="81" spans="1:18" x14ac:dyDescent="0.2">
      <c r="A81" s="100"/>
      <c r="B81" s="100"/>
      <c r="C81" s="100"/>
      <c r="D81" s="366" t="str">
        <f>Estimates!D88</f>
        <v xml:space="preserve">Estimated Total Savings (Rebates + Off Invoice Discounts):  </v>
      </c>
      <c r="E81" s="367"/>
      <c r="F81" s="367"/>
      <c r="G81" s="367"/>
      <c r="H81" s="367"/>
      <c r="I81" s="88">
        <f>Estimates!G88</f>
        <v>0.01</v>
      </c>
      <c r="J81" s="265">
        <f>Estimates!H88</f>
        <v>2000</v>
      </c>
      <c r="K81" s="65"/>
      <c r="L81" s="65"/>
      <c r="N81" s="65"/>
      <c r="O81" s="65"/>
      <c r="P81" s="65"/>
    </row>
    <row r="82" spans="1:18" ht="16" thickBot="1" x14ac:dyDescent="0.25">
      <c r="A82" s="100"/>
      <c r="B82" s="100"/>
      <c r="C82" s="100"/>
      <c r="D82" s="377" t="str">
        <f>Estimates!D89</f>
        <v>Estimated Net Total after Rebates &amp; Discounts:</v>
      </c>
      <c r="E82" s="378"/>
      <c r="F82" s="378"/>
      <c r="G82" s="378"/>
      <c r="H82" s="378"/>
      <c r="I82" s="386">
        <f>Estimates!G89</f>
        <v>198000</v>
      </c>
      <c r="J82" s="387"/>
      <c r="K82" s="65"/>
      <c r="L82" s="65"/>
      <c r="N82" s="65"/>
      <c r="O82" s="65"/>
      <c r="P82" s="65"/>
    </row>
    <row r="83" spans="1:18" ht="16" thickBot="1" x14ac:dyDescent="0.25">
      <c r="A83" s="100"/>
      <c r="B83" s="100"/>
      <c r="C83" s="100"/>
      <c r="D83" s="73"/>
      <c r="E83" s="73"/>
      <c r="F83" s="73"/>
      <c r="G83" s="73"/>
      <c r="H83" s="73"/>
      <c r="I83" s="65"/>
      <c r="J83" s="65"/>
      <c r="K83" s="65"/>
      <c r="L83" s="65"/>
      <c r="N83" s="65"/>
      <c r="O83" s="65"/>
      <c r="P83" s="65"/>
    </row>
    <row r="84" spans="1:18" ht="20" thickBot="1" x14ac:dyDescent="0.25">
      <c r="A84" s="100"/>
      <c r="B84" s="100"/>
      <c r="C84" s="100"/>
      <c r="D84" s="403" t="str">
        <f>Estimates!D91</f>
        <v>Estimated Envu Horizon points to be earned: 200,000</v>
      </c>
      <c r="E84" s="404"/>
      <c r="F84" s="404"/>
      <c r="G84" s="404"/>
      <c r="H84" s="404"/>
      <c r="I84" s="404"/>
      <c r="J84" s="405"/>
      <c r="K84" s="65"/>
      <c r="L84" s="65"/>
      <c r="N84" s="65"/>
      <c r="O84" s="65"/>
      <c r="P84" s="65"/>
    </row>
    <row r="85" spans="1:18" x14ac:dyDescent="0.2">
      <c r="A85" s="100"/>
      <c r="B85" s="100"/>
      <c r="C85" s="100"/>
      <c r="F85"/>
      <c r="H85" s="1"/>
    </row>
    <row r="86" spans="1:18" ht="14.5" customHeight="1" x14ac:dyDescent="0.2">
      <c r="A86" s="100"/>
      <c r="B86" s="100"/>
      <c r="C86" s="100"/>
      <c r="D86" s="385" t="s">
        <v>106</v>
      </c>
      <c r="E86" s="385"/>
      <c r="F86" s="385"/>
      <c r="G86" s="385"/>
      <c r="H86" s="385"/>
      <c r="I86" s="385"/>
      <c r="J86" s="385"/>
      <c r="K86" s="385"/>
      <c r="L86" s="385"/>
      <c r="N86" s="52"/>
      <c r="O86" s="52"/>
      <c r="P86" s="52"/>
      <c r="Q86" s="52"/>
      <c r="R86" s="52"/>
    </row>
    <row r="87" spans="1:18" x14ac:dyDescent="0.2">
      <c r="A87" s="100"/>
      <c r="B87" s="100"/>
      <c r="C87" s="100"/>
      <c r="D87" s="385"/>
      <c r="E87" s="385"/>
      <c r="F87" s="385"/>
      <c r="G87" s="385"/>
      <c r="H87" s="385"/>
      <c r="I87" s="385"/>
      <c r="J87" s="385"/>
      <c r="K87" s="385"/>
      <c r="L87" s="385"/>
      <c r="N87" s="52"/>
      <c r="O87" s="52"/>
      <c r="P87" s="52"/>
      <c r="Q87" s="52"/>
      <c r="R87" s="52"/>
    </row>
    <row r="88" spans="1:18" x14ac:dyDescent="0.2">
      <c r="A88" s="100"/>
      <c r="B88" s="100"/>
      <c r="C88" s="100"/>
      <c r="D88" s="385"/>
      <c r="E88" s="385"/>
      <c r="F88" s="385"/>
      <c r="G88" s="385"/>
      <c r="H88" s="385"/>
      <c r="I88" s="385"/>
      <c r="J88" s="385"/>
      <c r="K88" s="385"/>
      <c r="L88" s="385"/>
      <c r="N88" s="52"/>
      <c r="O88" s="52"/>
      <c r="P88" s="52"/>
      <c r="Q88" s="52"/>
      <c r="R88" s="52"/>
    </row>
    <row r="89" spans="1:18" x14ac:dyDescent="0.2">
      <c r="A89" s="100"/>
      <c r="B89" s="100"/>
      <c r="C89" s="100"/>
      <c r="D89" s="385"/>
      <c r="E89" s="385"/>
      <c r="F89" s="385"/>
      <c r="G89" s="385"/>
      <c r="H89" s="385"/>
      <c r="I89" s="385"/>
      <c r="J89" s="385"/>
      <c r="K89" s="385"/>
      <c r="L89" s="385"/>
      <c r="N89" s="52"/>
      <c r="O89" s="52"/>
      <c r="P89" s="52"/>
      <c r="Q89" s="52"/>
      <c r="R89" s="52"/>
    </row>
    <row r="90" spans="1:18" x14ac:dyDescent="0.2">
      <c r="A90" s="100"/>
      <c r="B90" s="100"/>
      <c r="C90" s="100"/>
      <c r="D90" s="385"/>
      <c r="E90" s="385"/>
      <c r="F90" s="385"/>
      <c r="G90" s="385"/>
      <c r="H90" s="385"/>
      <c r="I90" s="385"/>
      <c r="J90" s="385"/>
      <c r="K90" s="385"/>
      <c r="L90" s="385"/>
      <c r="N90" s="52"/>
      <c r="O90" s="52"/>
      <c r="P90" s="52"/>
      <c r="Q90" s="52"/>
      <c r="R90" s="52"/>
    </row>
    <row r="91" spans="1:18" x14ac:dyDescent="0.2">
      <c r="A91" s="100"/>
      <c r="B91" s="100"/>
      <c r="C91" s="100"/>
      <c r="D91" s="385"/>
      <c r="E91" s="385"/>
      <c r="F91" s="385"/>
      <c r="G91" s="385"/>
      <c r="H91" s="385"/>
      <c r="I91" s="385"/>
      <c r="J91" s="385"/>
      <c r="K91" s="385"/>
      <c r="L91" s="385"/>
      <c r="N91" s="52"/>
      <c r="O91" s="52"/>
      <c r="P91" s="52"/>
      <c r="Q91" s="52"/>
      <c r="R91" s="52"/>
    </row>
    <row r="92" spans="1:18" x14ac:dyDescent="0.2">
      <c r="A92" s="100"/>
      <c r="B92" s="100"/>
      <c r="C92" s="100"/>
      <c r="D92" s="385"/>
      <c r="E92" s="385"/>
      <c r="F92" s="385"/>
      <c r="G92" s="385"/>
      <c r="H92" s="385"/>
      <c r="I92" s="385"/>
      <c r="J92" s="385"/>
      <c r="K92" s="385"/>
      <c r="L92" s="385"/>
    </row>
    <row r="93" spans="1:18" x14ac:dyDescent="0.2">
      <c r="A93" s="100"/>
      <c r="B93" s="100"/>
      <c r="C93" s="100"/>
      <c r="D93" s="385"/>
      <c r="E93" s="385"/>
      <c r="F93" s="385"/>
      <c r="G93" s="385"/>
      <c r="H93" s="385"/>
      <c r="I93" s="385"/>
      <c r="J93" s="385"/>
      <c r="K93" s="385"/>
      <c r="L93" s="385"/>
    </row>
    <row r="94" spans="1:18" x14ac:dyDescent="0.2">
      <c r="A94" s="100"/>
      <c r="B94" s="100"/>
      <c r="C94" s="100"/>
      <c r="D94" s="385"/>
      <c r="E94" s="385"/>
      <c r="F94" s="385"/>
      <c r="G94" s="385"/>
      <c r="H94" s="385"/>
      <c r="I94" s="385"/>
      <c r="J94" s="385"/>
      <c r="K94" s="385"/>
      <c r="L94" s="385"/>
    </row>
    <row r="95" spans="1:18" x14ac:dyDescent="0.2">
      <c r="A95" s="100"/>
      <c r="B95" s="100"/>
      <c r="C95" s="100"/>
      <c r="D95" s="385"/>
      <c r="E95" s="385"/>
      <c r="F95" s="385"/>
      <c r="G95" s="385"/>
      <c r="H95" s="385"/>
      <c r="I95" s="385"/>
      <c r="J95" s="385"/>
      <c r="K95" s="385"/>
      <c r="L95" s="385"/>
    </row>
    <row r="96" spans="1:18" x14ac:dyDescent="0.2">
      <c r="A96" s="100"/>
      <c r="B96" s="100"/>
      <c r="C96" s="100"/>
      <c r="D96" s="385"/>
      <c r="E96" s="385"/>
      <c r="F96" s="385"/>
      <c r="G96" s="385"/>
      <c r="H96" s="385"/>
      <c r="I96" s="385"/>
      <c r="J96" s="385"/>
      <c r="K96" s="385"/>
      <c r="L96" s="385"/>
    </row>
    <row r="97" spans="1:18" x14ac:dyDescent="0.2">
      <c r="A97" s="100"/>
      <c r="B97" s="100"/>
      <c r="C97" s="100"/>
      <c r="D97" s="385"/>
      <c r="E97" s="385"/>
      <c r="F97" s="385"/>
      <c r="G97" s="385"/>
      <c r="H97" s="385"/>
      <c r="I97" s="385"/>
      <c r="J97" s="385"/>
      <c r="K97" s="385"/>
      <c r="L97" s="385"/>
    </row>
    <row r="98" spans="1:18" x14ac:dyDescent="0.2">
      <c r="A98" s="100"/>
      <c r="B98" s="100"/>
      <c r="C98" s="100"/>
      <c r="D98" s="85"/>
      <c r="E98" s="85"/>
      <c r="F98" s="85"/>
      <c r="G98" s="85"/>
      <c r="H98" s="85"/>
      <c r="I98" s="85"/>
      <c r="J98" s="85"/>
      <c r="K98" s="85"/>
      <c r="L98" s="85"/>
      <c r="N98" s="74"/>
      <c r="O98" s="74"/>
      <c r="P98" s="74"/>
      <c r="Q98" s="74"/>
      <c r="R98" s="74"/>
    </row>
    <row r="99" spans="1:18" x14ac:dyDescent="0.2">
      <c r="A99" s="100"/>
      <c r="B99" s="100"/>
      <c r="C99" s="100"/>
      <c r="D99" s="85"/>
      <c r="E99" s="85"/>
      <c r="F99" s="85"/>
      <c r="G99" s="85"/>
      <c r="H99" s="85"/>
      <c r="I99" s="85"/>
      <c r="J99" s="85"/>
      <c r="K99" s="85"/>
      <c r="L99" s="85"/>
      <c r="N99" s="74"/>
      <c r="O99" s="74"/>
      <c r="P99" s="74"/>
      <c r="Q99" s="74"/>
      <c r="R99" s="74"/>
    </row>
  </sheetData>
  <sheetProtection algorithmName="SHA-512" hashValue="ozBUSY9uK6P7RkeVzINR75zNVqre0RKd31sRgoIrfbsEHuseR98lWjURU2CFBBw6BKJ8oMC7un50q/0aPvcy3w==" saltValue="x2DgYHCBN+m570YhO2RSUg==" spinCount="100000" sheet="1" selectLockedCells="1"/>
  <autoFilter ref="A13:B65" xr:uid="{8A6B292D-5236-468E-9910-6066928F92CF}"/>
  <mergeCells count="34">
    <mergeCell ref="D86:L97"/>
    <mergeCell ref="I82:J82"/>
    <mergeCell ref="L11:L13"/>
    <mergeCell ref="D11:D13"/>
    <mergeCell ref="E11:E13"/>
    <mergeCell ref="F11:F13"/>
    <mergeCell ref="G11:G13"/>
    <mergeCell ref="H11:H13"/>
    <mergeCell ref="I11:I13"/>
    <mergeCell ref="J11:J13"/>
    <mergeCell ref="K11:K13"/>
    <mergeCell ref="D76:H76"/>
    <mergeCell ref="D77:H77"/>
    <mergeCell ref="D84:J84"/>
    <mergeCell ref="D78:H78"/>
    <mergeCell ref="D79:H79"/>
    <mergeCell ref="D80:H80"/>
    <mergeCell ref="D81:H81"/>
    <mergeCell ref="D82:H82"/>
    <mergeCell ref="E7:H7"/>
    <mergeCell ref="I71:J71"/>
    <mergeCell ref="I72:J72"/>
    <mergeCell ref="D71:H71"/>
    <mergeCell ref="D72:H72"/>
    <mergeCell ref="D2:H2"/>
    <mergeCell ref="E3:H3"/>
    <mergeCell ref="E4:H4"/>
    <mergeCell ref="E5:H5"/>
    <mergeCell ref="E6:H6"/>
    <mergeCell ref="A11:A13"/>
    <mergeCell ref="B11:B13"/>
    <mergeCell ref="D73:H73"/>
    <mergeCell ref="D74:H74"/>
    <mergeCell ref="D75:H75"/>
  </mergeCells>
  <conditionalFormatting sqref="I73:I81">
    <cfRule type="cellIs" dxfId="109" priority="5" operator="equal">
      <formula>"n/a"</formula>
    </cfRule>
  </conditionalFormatting>
  <conditionalFormatting sqref="J75:J81">
    <cfRule type="cellIs" dxfId="108" priority="4" operator="equal">
      <formula>"n/a"</formula>
    </cfRule>
  </conditionalFormatting>
  <conditionalFormatting sqref="G42:G65 I42:L65 G14:L39">
    <cfRule type="expression" dxfId="107" priority="2">
      <formula>OR(ISBLANK($G14),$G14=0)</formula>
    </cfRule>
  </conditionalFormatting>
  <conditionalFormatting sqref="I42:I65">
    <cfRule type="cellIs" dxfId="106" priority="1" operator="equal">
      <formula>0</formula>
    </cfRule>
  </conditionalFormatting>
  <pageMargins left="0.7" right="0.7" top="0.75" bottom="0.75" header="0.3" footer="0.3"/>
  <pageSetup scale="6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195A4-68B2-4939-8037-FC33F1EA3D10}">
  <sheetPr codeName="Sheet3"/>
  <dimension ref="A1:Q52"/>
  <sheetViews>
    <sheetView showGridLines="0" topLeftCell="A31" zoomScaleNormal="100" workbookViewId="0">
      <selection activeCell="A50" sqref="A50:A52"/>
    </sheetView>
  </sheetViews>
  <sheetFormatPr baseColWidth="10" defaultColWidth="8.83203125" defaultRowHeight="15" x14ac:dyDescent="0.2"/>
  <cols>
    <col min="1" max="1" width="11.5" bestFit="1" customWidth="1"/>
    <col min="2" max="2" width="12.1640625" bestFit="1" customWidth="1"/>
    <col min="3" max="3" width="26.5" bestFit="1" customWidth="1"/>
    <col min="4" max="4" width="7.5" bestFit="1" customWidth="1"/>
    <col min="5" max="5" width="11.1640625" bestFit="1" customWidth="1"/>
    <col min="6" max="8" width="11.83203125" bestFit="1" customWidth="1"/>
    <col min="9" max="9" width="11.83203125" customWidth="1"/>
    <col min="10" max="11" width="16" bestFit="1" customWidth="1"/>
    <col min="12" max="13" width="16" customWidth="1"/>
    <col min="14" max="14" width="21" bestFit="1" customWidth="1"/>
    <col min="15" max="15" width="21.5" bestFit="1" customWidth="1"/>
    <col min="16" max="16" width="10.5" bestFit="1" customWidth="1"/>
    <col min="17" max="17" width="21" bestFit="1" customWidth="1"/>
  </cols>
  <sheetData>
    <row r="1" spans="1:17" x14ac:dyDescent="0.2">
      <c r="A1" s="4" t="s">
        <v>58</v>
      </c>
      <c r="B1" s="5" t="s">
        <v>107</v>
      </c>
      <c r="C1" s="6" t="s">
        <v>108</v>
      </c>
      <c r="D1" s="6" t="s">
        <v>109</v>
      </c>
      <c r="E1" s="6" t="s">
        <v>110</v>
      </c>
      <c r="F1" s="7" t="s">
        <v>111</v>
      </c>
      <c r="G1" s="7" t="s">
        <v>112</v>
      </c>
      <c r="H1" s="7" t="s">
        <v>113</v>
      </c>
      <c r="I1" s="7" t="s">
        <v>114</v>
      </c>
      <c r="J1" s="7" t="s">
        <v>115</v>
      </c>
      <c r="K1" s="7" t="s">
        <v>116</v>
      </c>
      <c r="L1" s="7" t="s">
        <v>117</v>
      </c>
      <c r="M1" s="7" t="s">
        <v>118</v>
      </c>
      <c r="N1" s="8" t="s">
        <v>119</v>
      </c>
      <c r="O1" s="8" t="s">
        <v>120</v>
      </c>
      <c r="P1" s="8" t="s">
        <v>121</v>
      </c>
      <c r="Q1" s="9" t="s">
        <v>122</v>
      </c>
    </row>
    <row r="2" spans="1:17" x14ac:dyDescent="0.2">
      <c r="A2" s="186">
        <v>87300722</v>
      </c>
      <c r="B2" s="2" t="str">
        <f>INDEX(PRICING[Agency/TT],MATCH(Rebate_Lookup[[#This Row],[SKU CODE]],PRICING[SKU],0))</f>
        <v>TT</v>
      </c>
      <c r="C2" s="2" t="str">
        <f>INDEX(PRICING[Product],MATCH(Rebate_Lookup[[#This Row],[SKU CODE]],PRICING[SKU],0))</f>
        <v>Acclaim Extra®</v>
      </c>
      <c r="D2" s="2" t="str">
        <f>INDEX(PRICING[Size],MATCH(Rebate_Lookup[[#This Row],[SKU CODE]],PRICING[SKU],0))</f>
        <v>1 gal</v>
      </c>
      <c r="E2" s="2" cm="1">
        <f t="array" ref="E2">SUM(COUNTIFS(
    PRICING[Program],{"EOP/ORN","ORN","EOP","NOW","LL/NOW","LL/SLP/NOW","LL/SLP/EOP"},
    PRICING[SKU],A2
))</f>
        <v>1</v>
      </c>
      <c r="F2" s="2" cm="1">
        <f t="array" ref="F2">IFERROR(
MIN(
_xlfn._xlws.FILTER(
--_xlfn.TEXTBEFORE(
SUBSTITUTE(
SUBSTITUTE(PRICING[Min Qty],"+"," "),
"-"," "
),
" "
),
(PRICING[SKU]=$A2)*
(PRICING[Set]=1)*
(PRICING[Rebate $]&lt;&gt;0)*
(PRICING[Rebate $]&lt;&gt;"")
)
),
0
)</f>
        <v>0</v>
      </c>
      <c r="G2" s="2" cm="1">
        <f t="array" ref="G2">IFERROR(
MIN(
_xlfn._xlws.FILTER(
--_xlfn.TEXTBEFORE(
SUBSTITUTE(
SUBSTITUTE(PRICING[Min Qty],"+"," "),
"-"," "
),
" "
),
(PRICING[SKU]=$A2)*
(PRICING[Set]=2)*
(PRICING[Rebate $]&lt;&gt;0)*
(PRICING[Rebate $]&lt;&gt;"")
)
),
0
)</f>
        <v>0</v>
      </c>
      <c r="H2" s="2" cm="1">
        <f t="array" ref="H2">IFERROR(
MIN(
_xlfn._xlws.FILTER(
--_xlfn.TEXTBEFORE(
SUBSTITUTE(
SUBSTITUTE(PRICING[Min Qty],"+"," "),
"-"," "
),
" "
),
(PRICING[SKU]=$A2)*
(PRICING[Set]=3)*
(PRICING[Rebate $]&lt;&gt;0)*
(PRICING[Rebate $]&lt;&gt;"")
)
),
0
)</f>
        <v>0</v>
      </c>
      <c r="I2" s="2" cm="1">
        <f t="array" ref="I2">IFERROR(
MIN(
_xlfn._xlws.FILTER(
--_xlfn.TEXTBEFORE(
SUBSTITUTE(
SUBSTITUTE(PRICING[Min Qty],"+"," "),
"-"," "
),
" "
),
(PRICING[SKU]=$A2)*
(PRICING[Set]=4)*
(PRICING[Rebate $]&lt;&gt;0)*
(PRICING[Rebate $]&lt;&gt;"")
)
),
0
)</f>
        <v>0</v>
      </c>
      <c r="J2" s="2" cm="1">
        <f t="array" ref="J2">SUM(
    SUMIFS(
        PRICING[Rebate $],
        PRICING[Program],
        {"EOP/ORN","ORN","EOP","NOW","LL/NOW","LL/SLP/NOW","LL/SLP/EOP"},
        PRICING[SKU],
        Rebate_Lookup[[#This Row],[SKU CODE]],
        PRICING[Set],
        1
    )
)</f>
        <v>68</v>
      </c>
      <c r="K2" s="2" cm="1">
        <f t="array" ref="K2">SUM(
    SUMIFS(
        PRICING[Rebate $],
        PRICING[Program],
        {"EOP/ORN","ORN","EOP","NOW","LL/NOW","LL/SLP/NOW","LL/SLP/EOP"},
        PRICING[SKU],
        Rebate_Lookup[[#This Row],[SKU CODE]],
        PRICING[Set],
        2
    )
)</f>
        <v>0</v>
      </c>
      <c r="L2" s="2" cm="1">
        <f t="array" ref="L2">SUM(
    SUMIFS(
        PRICING[Rebate $],
        PRICING[Program],
        {"EOP/ORN","ORN","EOP","NOW","LL/NOW","LL/SLP/NOW","LL/SLP/EOP"},
        PRICING[SKU],
        Rebate_Lookup[[#This Row],[SKU CODE]],
        PRICING[Set],
        3
    )
)</f>
        <v>0</v>
      </c>
      <c r="M2" s="2" cm="1">
        <f t="array" ref="M2">SUM(
    SUMIFS(
        PRICING[Rebate $],
        PRICING[Program],
        {"EOP/ORN","ORN","EOP","NOW","LL/NOW","LL/SLP/NOW","LL/SLP/EOP"},
        PRICING[SKU],
        Rebate_Lookup[[#This Row],[SKU CODE]],
        PRICING[Set],
        4
    )
)</f>
        <v>0</v>
      </c>
      <c r="N2" s="2">
        <f>INDEX(Estimates!H:H,MATCH(Rebate_Lookup[[#This Row],[SKU CODE]],Estimates!A:A,0))</f>
        <v>0</v>
      </c>
      <c r="O2"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2" s="2">
        <f>COUNTIF(Estimates!A:A,Rebate_Lookup[[#This Row],[SKU CODE]])</f>
        <v>1</v>
      </c>
      <c r="Q2" s="3" t="b">
        <f>IFERROR(Rebate_Lookup[[#This Row],[Order Form Quantity]]&gt;=Rebate_Lookup[[#This Row],[MOQ_2]],0)</f>
        <v>1</v>
      </c>
    </row>
    <row r="3" spans="1:17" x14ac:dyDescent="0.2">
      <c r="A3" s="186">
        <v>7271250</v>
      </c>
      <c r="B3" s="2" t="str">
        <f>INDEX(PRICING[Agency/TT],MATCH(Rebate_Lookup[[#This Row],[SKU CODE]],PRICING[SKU],0))</f>
        <v>TT</v>
      </c>
      <c r="C3" s="2" t="str">
        <f>INDEX(PRICING[Product],MATCH(Rebate_Lookup[[#This Row],[SKU CODE]],PRICING[SKU],0))</f>
        <v>Acclaim Extra®</v>
      </c>
      <c r="D3" s="2" t="str">
        <f>INDEX(PRICING[Size],MATCH(Rebate_Lookup[[#This Row],[SKU CODE]],PRICING[SKU],0))</f>
        <v>16 oz</v>
      </c>
      <c r="E3" s="2" cm="1">
        <f t="array" ref="E3">SUM(COUNTIFS(
    PRICING[Program],{"EOP/ORN","ORN","EOP","NOW","LL/NOW","LL/SLP/NOW","LL/SLP/EOP"},
    PRICING[SKU],A3
))</f>
        <v>1</v>
      </c>
      <c r="F3" s="2" cm="1">
        <f t="array" ref="F3">IFERROR(
MIN(
_xlfn._xlws.FILTER(
--_xlfn.TEXTBEFORE(
SUBSTITUTE(
SUBSTITUTE(PRICING[Min Qty],"+"," "),
"-"," "
),
" "
),
(PRICING[SKU]=$A3)*
(PRICING[Set]=1)*
(PRICING[Rebate $]&lt;&gt;0)*
(PRICING[Rebate $]&lt;&gt;"")
)
),
0
)</f>
        <v>0</v>
      </c>
      <c r="G3" s="2" cm="1">
        <f t="array" ref="G3">IFERROR(
MIN(
_xlfn._xlws.FILTER(
--_xlfn.TEXTBEFORE(
SUBSTITUTE(
SUBSTITUTE(PRICING[Min Qty],"+"," "),
"-"," "
),
" "
),
(PRICING[SKU]=$A3)*
(PRICING[Set]=2)*
(PRICING[Rebate $]&lt;&gt;0)*
(PRICING[Rebate $]&lt;&gt;"")
)
),
0
)</f>
        <v>0</v>
      </c>
      <c r="H3" s="2" cm="1">
        <f t="array" ref="H3">IFERROR(
MIN(
_xlfn._xlws.FILTER(
--_xlfn.TEXTBEFORE(
SUBSTITUTE(
SUBSTITUTE(PRICING[Min Qty],"+"," "),
"-"," "
),
" "
),
(PRICING[SKU]=$A3)*
(PRICING[Set]=3)*
(PRICING[Rebate $]&lt;&gt;0)*
(PRICING[Rebate $]&lt;&gt;"")
)
),
0
)</f>
        <v>0</v>
      </c>
      <c r="I3" s="2" cm="1">
        <f t="array" ref="I3">IFERROR(
MIN(
_xlfn._xlws.FILTER(
--_xlfn.TEXTBEFORE(
SUBSTITUTE(
SUBSTITUTE(PRICING[Min Qty],"+"," "),
"-"," "
),
" "
),
(PRICING[SKU]=$A3)*
(PRICING[Set]=4)*
(PRICING[Rebate $]&lt;&gt;0)*
(PRICING[Rebate $]&lt;&gt;"")
)
),
0
)</f>
        <v>0</v>
      </c>
      <c r="J3" s="2" cm="1">
        <f t="array" ref="J3">SUM(
    SUMIFS(
        PRICING[Rebate $],
        PRICING[Program],
        {"EOP/ORN","ORN","EOP","NOW","LL/NOW","LL/SLP/NOW","LL/SLP/EOP"},
        PRICING[SKU],
        Rebate_Lookup[[#This Row],[SKU CODE]],
        PRICING[Set],
        1
    )
)</f>
        <v>10</v>
      </c>
      <c r="K3" s="2" cm="1">
        <f t="array" ref="K3">SUM(
    SUMIFS(
        PRICING[Rebate $],
        PRICING[Program],
        {"EOP/ORN","ORN","EOP","NOW","LL/NOW","LL/SLP/NOW","LL/SLP/EOP"},
        PRICING[SKU],
        Rebate_Lookup[[#This Row],[SKU CODE]],
        PRICING[Set],
        2
    )
)</f>
        <v>0</v>
      </c>
      <c r="L3" s="2" cm="1">
        <f t="array" ref="L3">SUM(
    SUMIFS(
        PRICING[Rebate $],
        PRICING[Program],
        {"EOP/ORN","ORN","EOP","NOW","LL/NOW","LL/SLP/NOW","LL/SLP/EOP"},
        PRICING[SKU],
        Rebate_Lookup[[#This Row],[SKU CODE]],
        PRICING[Set],
        3
    )
)</f>
        <v>0</v>
      </c>
      <c r="M3" s="2" cm="1">
        <f t="array" ref="M3">SUM(
    SUMIFS(
        PRICING[Rebate $],
        PRICING[Program],
        {"EOP/ORN","ORN","EOP","NOW","LL/NOW","LL/SLP/NOW","LL/SLP/EOP"},
        PRICING[SKU],
        Rebate_Lookup[[#This Row],[SKU CODE]],
        PRICING[Set],
        4
    )
)</f>
        <v>0</v>
      </c>
      <c r="N3" s="2">
        <f>INDEX(Estimates!H:H,MATCH(Rebate_Lookup[[#This Row],[SKU CODE]],Estimates!A:A,0))</f>
        <v>0</v>
      </c>
      <c r="O3"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3" s="2">
        <f>COUNTIF(Estimates!A:A,Rebate_Lookup[[#This Row],[SKU CODE]])</f>
        <v>1</v>
      </c>
      <c r="Q3" s="3" t="b">
        <f>IFERROR(Rebate_Lookup[[#This Row],[Order Form Quantity]]&gt;=Rebate_Lookup[[#This Row],[MOQ_2]],0)</f>
        <v>1</v>
      </c>
    </row>
    <row r="4" spans="1:17" x14ac:dyDescent="0.2">
      <c r="A4" s="186" t="s">
        <v>68</v>
      </c>
      <c r="B4" s="2" t="str">
        <f>INDEX(PRICING[Agency/TT],MATCH(Rebate_Lookup[[#This Row],[SKU CODE]],PRICING[SKU],0))</f>
        <v>TT</v>
      </c>
      <c r="C4" s="2" t="str">
        <f>INDEX(PRICING[Product],MATCH(Rebate_Lookup[[#This Row],[SKU CODE]],PRICING[SKU],0))</f>
        <v xml:space="preserve">Armada® 50 WDG </v>
      </c>
      <c r="D4" s="2" t="str">
        <f>INDEX(PRICING[Size],MATCH(Rebate_Lookup[[#This Row],[SKU CODE]],PRICING[SKU],0))</f>
        <v>2 lb</v>
      </c>
      <c r="E4" s="2" cm="1">
        <f t="array" ref="E4">SUM(COUNTIFS(
    PRICING[Program],{"EOP/ORN","ORN","EOP","NOW","LL/NOW","LL/SLP/NOW","LL/SLP/EOP"},
    PRICING[SKU],A4
))</f>
        <v>1</v>
      </c>
      <c r="F4" s="2" cm="1">
        <f t="array" ref="F4">IFERROR(
MIN(
_xlfn._xlws.FILTER(
--_xlfn.TEXTBEFORE(
SUBSTITUTE(
SUBSTITUTE(PRICING[Min Qty],"+"," "),
"-"," "
),
" "
),
(PRICING[SKU]=$A4)*
(PRICING[Set]=1)*
(PRICING[Rebate $]&lt;&gt;0)*
(PRICING[Rebate $]&lt;&gt;"")
)
),
0
)</f>
        <v>0</v>
      </c>
      <c r="G4" s="2" cm="1">
        <f t="array" ref="G4">IFERROR(
MIN(
_xlfn._xlws.FILTER(
--_xlfn.TEXTBEFORE(
SUBSTITUTE(
SUBSTITUTE(PRICING[Min Qty],"+"," "),
"-"," "
),
" "
),
(PRICING[SKU]=$A4)*
(PRICING[Set]=2)*
(PRICING[Rebate $]&lt;&gt;0)*
(PRICING[Rebate $]&lt;&gt;"")
)
),
0
)</f>
        <v>0</v>
      </c>
      <c r="H4" s="2" cm="1">
        <f t="array" ref="H4">IFERROR(
MIN(
_xlfn._xlws.FILTER(
--_xlfn.TEXTBEFORE(
SUBSTITUTE(
SUBSTITUTE(PRICING[Min Qty],"+"," "),
"-"," "
),
" "
),
(PRICING[SKU]=$A4)*
(PRICING[Set]=3)*
(PRICING[Rebate $]&lt;&gt;0)*
(PRICING[Rebate $]&lt;&gt;"")
)
),
0
)</f>
        <v>0</v>
      </c>
      <c r="I4" s="2" cm="1">
        <f t="array" ref="I4">IFERROR(
MIN(
_xlfn._xlws.FILTER(
--_xlfn.TEXTBEFORE(
SUBSTITUTE(
SUBSTITUTE(PRICING[Min Qty],"+"," "),
"-"," "
),
" "
),
(PRICING[SKU]=$A4)*
(PRICING[Set]=4)*
(PRICING[Rebate $]&lt;&gt;0)*
(PRICING[Rebate $]&lt;&gt;"")
)
),
0
)</f>
        <v>0</v>
      </c>
      <c r="J4" s="2" cm="1">
        <f t="array" ref="J4">SUM(
    SUMIFS(
        PRICING[Rebate $],
        PRICING[Program],
        {"EOP/ORN","ORN","EOP","NOW","LL/NOW","LL/SLP/NOW","LL/SLP/EOP"},
        PRICING[SKU],
        Rebate_Lookup[[#This Row],[SKU CODE]],
        PRICING[Set],
        1
    )
)</f>
        <v>0</v>
      </c>
      <c r="K4" s="2" cm="1">
        <f t="array" ref="K4">SUM(
    SUMIFS(
        PRICING[Rebate $],
        PRICING[Program],
        {"EOP/ORN","ORN","EOP","NOW","LL/NOW","LL/SLP/NOW","LL/SLP/EOP"},
        PRICING[SKU],
        Rebate_Lookup[[#This Row],[SKU CODE]],
        PRICING[Set],
        2
    )
)</f>
        <v>0</v>
      </c>
      <c r="L4" s="2" cm="1">
        <f t="array" ref="L4">SUM(
    SUMIFS(
        PRICING[Rebate $],
        PRICING[Program],
        {"EOP/ORN","ORN","EOP","NOW","LL/NOW","LL/SLP/NOW","LL/SLP/EOP"},
        PRICING[SKU],
        Rebate_Lookup[[#This Row],[SKU CODE]],
        PRICING[Set],
        3
    )
)</f>
        <v>0</v>
      </c>
      <c r="M4" s="2" cm="1">
        <f t="array" ref="M4">SUM(
    SUMIFS(
        PRICING[Rebate $],
        PRICING[Program],
        {"EOP/ORN","ORN","EOP","NOW","LL/NOW","LL/SLP/NOW","LL/SLP/EOP"},
        PRICING[SKU],
        Rebate_Lookup[[#This Row],[SKU CODE]],
        PRICING[Set],
        4
    )
)</f>
        <v>0</v>
      </c>
      <c r="N4" s="2">
        <f>INDEX(Estimates!H:H,MATCH(Rebate_Lookup[[#This Row],[SKU CODE]],Estimates!A:A,0))</f>
        <v>0</v>
      </c>
      <c r="O4"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4" s="2">
        <f>COUNTIF(Estimates!A:A,Rebate_Lookup[[#This Row],[SKU CODE]])</f>
        <v>1</v>
      </c>
      <c r="Q4" s="3" t="b">
        <f>IFERROR(Rebate_Lookup[[#This Row],[Order Form Quantity]]&gt;=Rebate_Lookup[[#This Row],[MOQ_2]],0)</f>
        <v>1</v>
      </c>
    </row>
    <row r="5" spans="1:17" x14ac:dyDescent="0.2">
      <c r="A5" s="186">
        <v>11008351</v>
      </c>
      <c r="B5" s="2" t="str">
        <f>INDEX(PRICING[Agency/TT],MATCH(Rebate_Lookup[[#This Row],[SKU CODE]],PRICING[SKU],0))</f>
        <v>TT</v>
      </c>
      <c r="C5" s="2" t="str">
        <f>INDEX(PRICING[Product],MATCH(Rebate_Lookup[[#This Row],[SKU CODE]],PRICING[SKU],0))</f>
        <v xml:space="preserve">Blindside® Herbicide </v>
      </c>
      <c r="D5" s="2" t="str">
        <f>INDEX(PRICING[Size],MATCH(Rebate_Lookup[[#This Row],[SKU CODE]],PRICING[SKU],0))</f>
        <v>0.5 lb</v>
      </c>
      <c r="E5" s="2" cm="1">
        <f t="array" ref="E5">SUM(COUNTIFS(
    PRICING[Program],{"EOP/ORN","ORN","EOP","NOW","LL/NOW","LL/SLP/NOW","LL/SLP/EOP"},
    PRICING[SKU],A5
))</f>
        <v>1</v>
      </c>
      <c r="F5" s="2" cm="1">
        <f t="array" ref="F5">IFERROR(
MIN(
_xlfn._xlws.FILTER(
--_xlfn.TEXTBEFORE(
SUBSTITUTE(
SUBSTITUTE(PRICING[Min Qty],"+"," "),
"-"," "
),
" "
),
(PRICING[SKU]=$A5)*
(PRICING[Set]=1)*
(PRICING[Rebate $]&lt;&gt;0)*
(PRICING[Rebate $]&lt;&gt;"")
)
),
0
)</f>
        <v>0</v>
      </c>
      <c r="G5" s="2" cm="1">
        <f t="array" ref="G5">IFERROR(
MIN(
_xlfn._xlws.FILTER(
--_xlfn.TEXTBEFORE(
SUBSTITUTE(
SUBSTITUTE(PRICING[Min Qty],"+"," "),
"-"," "
),
" "
),
(PRICING[SKU]=$A5)*
(PRICING[Set]=2)*
(PRICING[Rebate $]&lt;&gt;0)*
(PRICING[Rebate $]&lt;&gt;"")
)
),
0
)</f>
        <v>0</v>
      </c>
      <c r="H5" s="2" cm="1">
        <f t="array" ref="H5">IFERROR(
MIN(
_xlfn._xlws.FILTER(
--_xlfn.TEXTBEFORE(
SUBSTITUTE(
SUBSTITUTE(PRICING[Min Qty],"+"," "),
"-"," "
),
" "
),
(PRICING[SKU]=$A5)*
(PRICING[Set]=3)*
(PRICING[Rebate $]&lt;&gt;0)*
(PRICING[Rebate $]&lt;&gt;"")
)
),
0
)</f>
        <v>0</v>
      </c>
      <c r="I5" s="2" cm="1">
        <f t="array" ref="I5">IFERROR(
MIN(
_xlfn._xlws.FILTER(
--_xlfn.TEXTBEFORE(
SUBSTITUTE(
SUBSTITUTE(PRICING[Min Qty],"+"," "),
"-"," "
),
" "
),
(PRICING[SKU]=$A5)*
(PRICING[Set]=4)*
(PRICING[Rebate $]&lt;&gt;0)*
(PRICING[Rebate $]&lt;&gt;"")
)
),
0
)</f>
        <v>0</v>
      </c>
      <c r="J5" s="2" cm="1">
        <f t="array" ref="J5">SUM(
    SUMIFS(
        PRICING[Rebate $],
        PRICING[Program],
        {"EOP/ORN","ORN","EOP","NOW","LL/NOW","LL/SLP/NOW","LL/SLP/EOP"},
        PRICING[SKU],
        Rebate_Lookup[[#This Row],[SKU CODE]],
        PRICING[Set],
        1
    )
)</f>
        <v>20</v>
      </c>
      <c r="K5" s="2" cm="1">
        <f t="array" ref="K5">SUM(
    SUMIFS(
        PRICING[Rebate $],
        PRICING[Program],
        {"EOP/ORN","ORN","EOP","NOW","LL/NOW","LL/SLP/NOW","LL/SLP/EOP"},
        PRICING[SKU],
        Rebate_Lookup[[#This Row],[SKU CODE]],
        PRICING[Set],
        2
    )
)</f>
        <v>0</v>
      </c>
      <c r="L5" s="2" cm="1">
        <f t="array" ref="L5">SUM(
    SUMIFS(
        PRICING[Rebate $],
        PRICING[Program],
        {"EOP/ORN","ORN","EOP","NOW","LL/NOW","LL/SLP/NOW","LL/SLP/EOP"},
        PRICING[SKU],
        Rebate_Lookup[[#This Row],[SKU CODE]],
        PRICING[Set],
        3
    )
)</f>
        <v>0</v>
      </c>
      <c r="M5" s="2" cm="1">
        <f t="array" ref="M5">SUM(
    SUMIFS(
        PRICING[Rebate $],
        PRICING[Program],
        {"EOP/ORN","ORN","EOP","NOW","LL/NOW","LL/SLP/NOW","LL/SLP/EOP"},
        PRICING[SKU],
        Rebate_Lookup[[#This Row],[SKU CODE]],
        PRICING[Set],
        4
    )
)</f>
        <v>0</v>
      </c>
      <c r="N5" s="2">
        <f>INDEX(Estimates!H:H,MATCH(Rebate_Lookup[[#This Row],[SKU CODE]],Estimates!A:A,0))</f>
        <v>0</v>
      </c>
      <c r="O5"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5" s="2">
        <f>COUNTIF(Estimates!A:A,Rebate_Lookup[[#This Row],[SKU CODE]])</f>
        <v>1</v>
      </c>
      <c r="Q5" s="3" t="b">
        <f>IFERROR(Rebate_Lookup[[#This Row],[Order Form Quantity]]&gt;=Rebate_Lookup[[#This Row],[MOQ_2]],0)</f>
        <v>1</v>
      </c>
    </row>
    <row r="6" spans="1:17" x14ac:dyDescent="0.2">
      <c r="A6" s="186" t="s">
        <v>49</v>
      </c>
      <c r="B6" s="2" t="str">
        <f>INDEX(PRICING[Agency/TT],MATCH(Rebate_Lookup[[#This Row],[SKU CODE]],PRICING[SKU],0))</f>
        <v>A</v>
      </c>
      <c r="C6" s="2" t="str">
        <f>INDEX(PRICING[Product],MATCH(Rebate_Lookup[[#This Row],[SKU CODE]],PRICING[SKU],0))</f>
        <v>Celsius® WG</v>
      </c>
      <c r="D6" s="2" t="str">
        <f>INDEX(PRICING[Size],MATCH(Rebate_Lookup[[#This Row],[SKU CODE]],PRICING[SKU],0))</f>
        <v>10 oz</v>
      </c>
      <c r="E6" s="2" cm="1">
        <f t="array" ref="E6">SUM(COUNTIFS(
    PRICING[Program],{"EOP/ORN","ORN","EOP","NOW","LL/NOW","LL/SLP/NOW","LL/SLP/EOP"},
    PRICING[SKU],A6
))</f>
        <v>2</v>
      </c>
      <c r="F6" s="2" cm="1">
        <f t="array" ref="F6">IFERROR(
MIN(
_xlfn._xlws.FILTER(
--_xlfn.TEXTBEFORE(
SUBSTITUTE(
SUBSTITUTE(PRICING[Min Qty],"+"," "),
"-"," "
),
" "
),
(PRICING[SKU]=$A6)*
(PRICING[Set]=1)*
(PRICING[Rebate $]&lt;&gt;0)*
(PRICING[Rebate $]&lt;&gt;"")
)
),
0
)</f>
        <v>0</v>
      </c>
      <c r="G6" s="2" cm="1">
        <f t="array" ref="G6">IFERROR(
MIN(
_xlfn._xlws.FILTER(
--_xlfn.TEXTBEFORE(
SUBSTITUTE(
SUBSTITUTE(PRICING[Min Qty],"+"," "),
"-"," "
),
" "
),
(PRICING[SKU]=$A6)*
(PRICING[Set]=2)*
(PRICING[Rebate $]&lt;&gt;0)*
(PRICING[Rebate $]&lt;&gt;"")
)
),
0
)</f>
        <v>16</v>
      </c>
      <c r="H6" s="2" cm="1">
        <f t="array" ref="H6">IFERROR(
MIN(
_xlfn._xlws.FILTER(
--_xlfn.TEXTBEFORE(
SUBSTITUTE(
SUBSTITUTE(PRICING[Min Qty],"+"," "),
"-"," "
),
" "
),
(PRICING[SKU]=$A6)*
(PRICING[Set]=3)*
(PRICING[Rebate $]&lt;&gt;0)*
(PRICING[Rebate $]&lt;&gt;"")
)
),
0
)</f>
        <v>0</v>
      </c>
      <c r="I6" s="2" cm="1">
        <f t="array" ref="I6">IFERROR(
MIN(
_xlfn._xlws.FILTER(
--_xlfn.TEXTBEFORE(
SUBSTITUTE(
SUBSTITUTE(PRICING[Min Qty],"+"," "),
"-"," "
),
" "
),
(PRICING[SKU]=$A6)*
(PRICING[Set]=4)*
(PRICING[Rebate $]&lt;&gt;0)*
(PRICING[Rebate $]&lt;&gt;"")
)
),
0
)</f>
        <v>0</v>
      </c>
      <c r="J6" s="2" cm="1">
        <f t="array" ref="J6">SUM(
    SUMIFS(
        PRICING[Rebate $],
        PRICING[Program],
        {"EOP/ORN","ORN","EOP","NOW","LL/NOW","LL/SLP/NOW","LL/SLP/EOP"},
        PRICING[SKU],
        Rebate_Lookup[[#This Row],[SKU CODE]],
        PRICING[Set],
        1
    )
)</f>
        <v>0</v>
      </c>
      <c r="K6" s="2" cm="1">
        <f t="array" ref="K6">SUM(
    SUMIFS(
        PRICING[Rebate $],
        PRICING[Program],
        {"EOP/ORN","ORN","EOP","NOW","LL/NOW","LL/SLP/NOW","LL/SLP/EOP"},
        PRICING[SKU],
        Rebate_Lookup[[#This Row],[SKU CODE]],
        PRICING[Set],
        2
    )
)</f>
        <v>5</v>
      </c>
      <c r="L6" s="2" cm="1">
        <f t="array" ref="L6">SUM(
    SUMIFS(
        PRICING[Rebate $],
        PRICING[Program],
        {"EOP/ORN","ORN","EOP","NOW","LL/NOW","LL/SLP/NOW","LL/SLP/EOP"},
        PRICING[SKU],
        Rebate_Lookup[[#This Row],[SKU CODE]],
        PRICING[Set],
        3
    )
)</f>
        <v>0</v>
      </c>
      <c r="M6" s="2" cm="1">
        <f t="array" ref="M6">SUM(
    SUMIFS(
        PRICING[Rebate $],
        PRICING[Program],
        {"EOP/ORN","ORN","EOP","NOW","LL/NOW","LL/SLP/NOW","LL/SLP/EOP"},
        PRICING[SKU],
        Rebate_Lookup[[#This Row],[SKU CODE]],
        PRICING[Set],
        4
    )
)</f>
        <v>0</v>
      </c>
      <c r="N6" s="2">
        <f>INDEX(Estimates!H:H,MATCH(Rebate_Lookup[[#This Row],[SKU CODE]],Estimates!A:A,0))</f>
        <v>0</v>
      </c>
      <c r="O6"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6" s="2">
        <f>COUNTIF(Estimates!A:A,Rebate_Lookup[[#This Row],[SKU CODE]])</f>
        <v>1</v>
      </c>
      <c r="Q6" s="3" t="b">
        <f>IFERROR(Rebate_Lookup[[#This Row],[Order Form Quantity]]&gt;=Rebate_Lookup[[#This Row],[MOQ_2]],0)</f>
        <v>0</v>
      </c>
    </row>
    <row r="7" spans="1:17" x14ac:dyDescent="0.2">
      <c r="A7" s="186" t="s">
        <v>50</v>
      </c>
      <c r="B7" s="2" t="str">
        <f>INDEX(PRICING[Agency/TT],MATCH(Rebate_Lookup[[#This Row],[SKU CODE]],PRICING[SKU],0))</f>
        <v>A</v>
      </c>
      <c r="C7" s="2" t="str">
        <f>INDEX(PRICING[Product],MATCH(Rebate_Lookup[[#This Row],[SKU CODE]],PRICING[SKU],0))</f>
        <v>Celsius® XTRA</v>
      </c>
      <c r="D7" s="2" t="str">
        <f>INDEX(PRICING[Size],MATCH(Rebate_Lookup[[#This Row],[SKU CODE]],PRICING[SKU],0))</f>
        <v>10 oz</v>
      </c>
      <c r="E7" s="2" cm="1">
        <f t="array" ref="E7">SUM(COUNTIFS(
    PRICING[Program],{"EOP/ORN","ORN","EOP","NOW","LL/NOW","LL/SLP/NOW","LL/SLP/EOP"},
    PRICING[SKU],A7
))</f>
        <v>2</v>
      </c>
      <c r="F7" s="2" cm="1">
        <f t="array" ref="F7">IFERROR(
MIN(
_xlfn._xlws.FILTER(
--_xlfn.TEXTBEFORE(
SUBSTITUTE(
SUBSTITUTE(PRICING[Min Qty],"+"," "),
"-"," "
),
" "
),
(PRICING[SKU]=$A7)*
(PRICING[Set]=1)*
(PRICING[Rebate $]&lt;&gt;0)*
(PRICING[Rebate $]&lt;&gt;"")
)
),
0
)</f>
        <v>0</v>
      </c>
      <c r="G7" s="2" cm="1">
        <f t="array" ref="G7">IFERROR(
MIN(
_xlfn._xlws.FILTER(
--_xlfn.TEXTBEFORE(
SUBSTITUTE(
SUBSTITUTE(PRICING[Min Qty],"+"," "),
"-"," "
),
" "
),
(PRICING[SKU]=$A7)*
(PRICING[Set]=2)*
(PRICING[Rebate $]&lt;&gt;0)*
(PRICING[Rebate $]&lt;&gt;"")
)
),
0
)</f>
        <v>16</v>
      </c>
      <c r="H7" s="2" cm="1">
        <f t="array" ref="H7">IFERROR(
MIN(
_xlfn._xlws.FILTER(
--_xlfn.TEXTBEFORE(
SUBSTITUTE(
SUBSTITUTE(PRICING[Min Qty],"+"," "),
"-"," "
),
" "
),
(PRICING[SKU]=$A7)*
(PRICING[Set]=3)*
(PRICING[Rebate $]&lt;&gt;0)*
(PRICING[Rebate $]&lt;&gt;"")
)
),
0
)</f>
        <v>0</v>
      </c>
      <c r="I7" s="2" cm="1">
        <f t="array" ref="I7">IFERROR(
MIN(
_xlfn._xlws.FILTER(
--_xlfn.TEXTBEFORE(
SUBSTITUTE(
SUBSTITUTE(PRICING[Min Qty],"+"," "),
"-"," "
),
" "
),
(PRICING[SKU]=$A7)*
(PRICING[Set]=4)*
(PRICING[Rebate $]&lt;&gt;0)*
(PRICING[Rebate $]&lt;&gt;"")
)
),
0
)</f>
        <v>0</v>
      </c>
      <c r="J7" s="2" cm="1">
        <f t="array" ref="J7">SUM(
    SUMIFS(
        PRICING[Rebate $],
        PRICING[Program],
        {"EOP/ORN","ORN","EOP","NOW","LL/NOW","LL/SLP/NOW","LL/SLP/EOP"},
        PRICING[SKU],
        Rebate_Lookup[[#This Row],[SKU CODE]],
        PRICING[Set],
        1
    )
)</f>
        <v>0</v>
      </c>
      <c r="K7" s="2" cm="1">
        <f t="array" ref="K7">SUM(
    SUMIFS(
        PRICING[Rebate $],
        PRICING[Program],
        {"EOP/ORN","ORN","EOP","NOW","LL/NOW","LL/SLP/NOW","LL/SLP/EOP"},
        PRICING[SKU],
        Rebate_Lookup[[#This Row],[SKU CODE]],
        PRICING[Set],
        2
    )
)</f>
        <v>7</v>
      </c>
      <c r="L7" s="2" cm="1">
        <f t="array" ref="L7">SUM(
    SUMIFS(
        PRICING[Rebate $],
        PRICING[Program],
        {"EOP/ORN","ORN","EOP","NOW","LL/NOW","LL/SLP/NOW","LL/SLP/EOP"},
        PRICING[SKU],
        Rebate_Lookup[[#This Row],[SKU CODE]],
        PRICING[Set],
        3
    )
)</f>
        <v>0</v>
      </c>
      <c r="M7" s="2" cm="1">
        <f t="array" ref="M7">SUM(
    SUMIFS(
        PRICING[Rebate $],
        PRICING[Program],
        {"EOP/ORN","ORN","EOP","NOW","LL/NOW","LL/SLP/NOW","LL/SLP/EOP"},
        PRICING[SKU],
        Rebate_Lookup[[#This Row],[SKU CODE]],
        PRICING[Set],
        4
    )
)</f>
        <v>0</v>
      </c>
      <c r="N7" s="2">
        <f>INDEX(Estimates!H:H,MATCH(Rebate_Lookup[[#This Row],[SKU CODE]],Estimates!A:A,0))</f>
        <v>0</v>
      </c>
      <c r="O7"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7" s="2">
        <f>COUNTIF(Estimates!A:A,Rebate_Lookup[[#This Row],[SKU CODE]])</f>
        <v>1</v>
      </c>
      <c r="Q7" s="3" t="b">
        <f>IFERROR(Rebate_Lookup[[#This Row],[Order Form Quantity]]&gt;=Rebate_Lookup[[#This Row],[MOQ_2]],0)</f>
        <v>0</v>
      </c>
    </row>
    <row r="8" spans="1:17" x14ac:dyDescent="0.2">
      <c r="A8" s="186">
        <v>11008357</v>
      </c>
      <c r="B8" s="86" t="str">
        <f>INDEX(PRICING[Agency/TT],MATCH(Rebate_Lookup[[#This Row],[SKU CODE]],PRICING[SKU],0))</f>
        <v>TT</v>
      </c>
      <c r="C8" s="86" t="str">
        <f>INDEX(PRICING[Product],MATCH(Rebate_Lookup[[#This Row],[SKU CODE]],PRICING[SKU],0))</f>
        <v>Dismiss® CA Herbicide</v>
      </c>
      <c r="D8" s="86" t="str">
        <f>INDEX(PRICING[Size],MATCH(Rebate_Lookup[[#This Row],[SKU CODE]],PRICING[SKU],0))</f>
        <v>6 oz</v>
      </c>
      <c r="E8" s="2" cm="1">
        <f t="array" ref="E8">SUM(COUNTIFS(
    PRICING[Program],{"EOP/ORN","ORN","EOP","NOW","LL/NOW","LL/SLP/NOW","LL/SLP/EOP"},
    PRICING[SKU],A8
))</f>
        <v>1</v>
      </c>
      <c r="F8" s="86" cm="1">
        <f t="array" ref="F8">IFERROR(
MIN(
_xlfn._xlws.FILTER(
--_xlfn.TEXTBEFORE(
SUBSTITUTE(
SUBSTITUTE(PRICING[Min Qty],"+"," "),
"-"," "
),
" "
),
(PRICING[SKU]=$A8)*
(PRICING[Set]=1)*
(PRICING[Rebate $]&lt;&gt;0)*
(PRICING[Rebate $]&lt;&gt;"")
)
),
0
)</f>
        <v>0</v>
      </c>
      <c r="G8" s="86" cm="1">
        <f t="array" ref="G8">IFERROR(
MIN(
_xlfn._xlws.FILTER(
--_xlfn.TEXTBEFORE(
SUBSTITUTE(
SUBSTITUTE(PRICING[Min Qty],"+"," "),
"-"," "
),
" "
),
(PRICING[SKU]=$A8)*
(PRICING[Set]=2)*
(PRICING[Rebate $]&lt;&gt;0)*
(PRICING[Rebate $]&lt;&gt;"")
)
),
0
)</f>
        <v>0</v>
      </c>
      <c r="H8" s="86" cm="1">
        <f t="array" ref="H8">IFERROR(
MIN(
_xlfn._xlws.FILTER(
--_xlfn.TEXTBEFORE(
SUBSTITUTE(
SUBSTITUTE(PRICING[Min Qty],"+"," "),
"-"," "
),
" "
),
(PRICING[SKU]=$A8)*
(PRICING[Set]=3)*
(PRICING[Rebate $]&lt;&gt;0)*
(PRICING[Rebate $]&lt;&gt;"")
)
),
0
)</f>
        <v>0</v>
      </c>
      <c r="I8" s="86" cm="1">
        <f t="array" ref="I8">IFERROR(
MIN(
_xlfn._xlws.FILTER(
--_xlfn.TEXTBEFORE(
SUBSTITUTE(
SUBSTITUTE(PRICING[Min Qty],"+"," "),
"-"," "
),
" "
),
(PRICING[SKU]=$A8)*
(PRICING[Set]=4)*
(PRICING[Rebate $]&lt;&gt;0)*
(PRICING[Rebate $]&lt;&gt;"")
)
),
0
)</f>
        <v>0</v>
      </c>
      <c r="J8" s="86" cm="1">
        <f t="array" ref="J8">SUM(
    SUMIFS(
        PRICING[Rebate $],
        PRICING[Program],
        {"EOP/ORN","ORN","EOP","NOW","LL/NOW","LL/SLP/NOW","LL/SLP/EOP"},
        PRICING[SKU],
        Rebate_Lookup[[#This Row],[SKU CODE]],
        PRICING[Set],
        1
    )
)</f>
        <v>18</v>
      </c>
      <c r="K8" s="86" cm="1">
        <f t="array" ref="K8">SUM(
    SUMIFS(
        PRICING[Rebate $],
        PRICING[Program],
        {"EOP/ORN","ORN","EOP","NOW","LL/NOW","LL/SLP/NOW","LL/SLP/EOP"},
        PRICING[SKU],
        Rebate_Lookup[[#This Row],[SKU CODE]],
        PRICING[Set],
        2
    )
)</f>
        <v>0</v>
      </c>
      <c r="L8" s="86" cm="1">
        <f t="array" ref="L8">SUM(
    SUMIFS(
        PRICING[Rebate $],
        PRICING[Program],
        {"EOP/ORN","ORN","EOP","NOW","LL/NOW","LL/SLP/NOW","LL/SLP/EOP"},
        PRICING[SKU],
        Rebate_Lookup[[#This Row],[SKU CODE]],
        PRICING[Set],
        3
    )
)</f>
        <v>0</v>
      </c>
      <c r="M8" s="86" cm="1">
        <f t="array" ref="M8">SUM(
    SUMIFS(
        PRICING[Rebate $],
        PRICING[Program],
        {"EOP/ORN","ORN","EOP","NOW","LL/NOW","LL/SLP/NOW","LL/SLP/EOP"},
        PRICING[SKU],
        Rebate_Lookup[[#This Row],[SKU CODE]],
        PRICING[Set],
        4
    )
)</f>
        <v>0</v>
      </c>
      <c r="N8" s="86">
        <f>INDEX(Estimates!H:H,MATCH(Rebate_Lookup[[#This Row],[SKU CODE]],Estimates!A:A,0))</f>
        <v>0</v>
      </c>
      <c r="O8" s="86">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8" s="86">
        <f>COUNTIF(Estimates!A:A,Rebate_Lookup[[#This Row],[SKU CODE]])</f>
        <v>1</v>
      </c>
      <c r="Q8" s="87" t="b">
        <f>IFERROR(Rebate_Lookup[[#This Row],[Order Form Quantity]]&gt;=Rebate_Lookup[[#This Row],[MOQ_2]],0)</f>
        <v>1</v>
      </c>
    </row>
    <row r="9" spans="1:17" x14ac:dyDescent="0.2">
      <c r="A9" s="186">
        <v>11008409</v>
      </c>
      <c r="B9" s="2" t="str">
        <f>INDEX(PRICING[Agency/TT],MATCH(Rebate_Lookup[[#This Row],[SKU CODE]],PRICING[SKU],0))</f>
        <v>A</v>
      </c>
      <c r="C9" s="2" t="str">
        <f>INDEX(PRICING[Product],MATCH(Rebate_Lookup[[#This Row],[SKU CODE]],PRICING[SKU],0))</f>
        <v>Dismiss® NXT Herbicide</v>
      </c>
      <c r="D9" s="2" t="str">
        <f>INDEX(PRICING[Size],MATCH(Rebate_Lookup[[#This Row],[SKU CODE]],PRICING[SKU],0))</f>
        <v>10 oz</v>
      </c>
      <c r="E9" s="2" cm="1">
        <f t="array" ref="E9">SUM(COUNTIFS(
    PRICING[Program],{"EOP/ORN","ORN","EOP","NOW","LL/NOW","LL/SLP/NOW","LL/SLP/EOP"},
    PRICING[SKU],A9
))</f>
        <v>1</v>
      </c>
      <c r="F9" s="2" cm="1">
        <f t="array" ref="F9">IFERROR(
MIN(
_xlfn._xlws.FILTER(
--_xlfn.TEXTBEFORE(
SUBSTITUTE(
SUBSTITUTE(PRICING[Min Qty],"+"," "),
"-"," "
),
" "
),
(PRICING[SKU]=$A9)*
(PRICING[Set]=1)*
(PRICING[Rebate $]&lt;&gt;0)*
(PRICING[Rebate $]&lt;&gt;"")
)
),
0
)</f>
        <v>0</v>
      </c>
      <c r="G9" s="2" cm="1">
        <f t="array" ref="G9">IFERROR(
MIN(
_xlfn._xlws.FILTER(
--_xlfn.TEXTBEFORE(
SUBSTITUTE(
SUBSTITUTE(PRICING[Min Qty],"+"," "),
"-"," "
),
" "
),
(PRICING[SKU]=$A9)*
(PRICING[Set]=2)*
(PRICING[Rebate $]&lt;&gt;0)*
(PRICING[Rebate $]&lt;&gt;"")
)
),
0
)</f>
        <v>0</v>
      </c>
      <c r="H9" s="2" cm="1">
        <f t="array" ref="H9">IFERROR(
MIN(
_xlfn._xlws.FILTER(
--_xlfn.TEXTBEFORE(
SUBSTITUTE(
SUBSTITUTE(PRICING[Min Qty],"+"," "),
"-"," "
),
" "
),
(PRICING[SKU]=$A9)*
(PRICING[Set]=3)*
(PRICING[Rebate $]&lt;&gt;0)*
(PRICING[Rebate $]&lt;&gt;"")
)
),
0
)</f>
        <v>0</v>
      </c>
      <c r="I9" s="2" cm="1">
        <f t="array" ref="I9">IFERROR(
MIN(
_xlfn._xlws.FILTER(
--_xlfn.TEXTBEFORE(
SUBSTITUTE(
SUBSTITUTE(PRICING[Min Qty],"+"," "),
"-"," "
),
" "
),
(PRICING[SKU]=$A9)*
(PRICING[Set]=4)*
(PRICING[Rebate $]&lt;&gt;0)*
(PRICING[Rebate $]&lt;&gt;"")
)
),
0
)</f>
        <v>0</v>
      </c>
      <c r="J9" s="2" cm="1">
        <f t="array" ref="J9">SUM(
    SUMIFS(
        PRICING[Rebate $],
        PRICING[Program],
        {"EOP/ORN","ORN","EOP","NOW","LL/NOW","LL/SLP/NOW","LL/SLP/EOP"},
        PRICING[SKU],
        Rebate_Lookup[[#This Row],[SKU CODE]],
        PRICING[Set],
        1
    )
)</f>
        <v>5</v>
      </c>
      <c r="K9" s="2" cm="1">
        <f t="array" ref="K9">SUM(
    SUMIFS(
        PRICING[Rebate $],
        PRICING[Program],
        {"EOP/ORN","ORN","EOP","NOW","LL/NOW","LL/SLP/NOW","LL/SLP/EOP"},
        PRICING[SKU],
        Rebate_Lookup[[#This Row],[SKU CODE]],
        PRICING[Set],
        2
    )
)</f>
        <v>0</v>
      </c>
      <c r="L9" s="2" cm="1">
        <f t="array" ref="L9">SUM(
    SUMIFS(
        PRICING[Rebate $],
        PRICING[Program],
        {"EOP/ORN","ORN","EOP","NOW","LL/NOW","LL/SLP/NOW","LL/SLP/EOP"},
        PRICING[SKU],
        Rebate_Lookup[[#This Row],[SKU CODE]],
        PRICING[Set],
        3
    )
)</f>
        <v>0</v>
      </c>
      <c r="M9" s="2" cm="1">
        <f t="array" ref="M9">SUM(
    SUMIFS(
        PRICING[Rebate $],
        PRICING[Program],
        {"EOP/ORN","ORN","EOP","NOW","LL/NOW","LL/SLP/NOW","LL/SLP/EOP"},
        PRICING[SKU],
        Rebate_Lookup[[#This Row],[SKU CODE]],
        PRICING[Set],
        4
    )
)</f>
        <v>0</v>
      </c>
      <c r="N9" s="2">
        <f>INDEX(Estimates!H:H,MATCH(Rebate_Lookup[[#This Row],[SKU CODE]],Estimates!A:A,0))</f>
        <v>0</v>
      </c>
      <c r="O9"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9" s="2">
        <f>COUNTIF(Estimates!A:A,Rebate_Lookup[[#This Row],[SKU CODE]])</f>
        <v>1</v>
      </c>
      <c r="Q9" s="3" t="b">
        <f>IFERROR(Rebate_Lookup[[#This Row],[Order Form Quantity]]&gt;=Rebate_Lookup[[#This Row],[MOQ_2]],0)</f>
        <v>1</v>
      </c>
    </row>
    <row r="10" spans="1:17" x14ac:dyDescent="0.2">
      <c r="A10" s="186">
        <v>11008589</v>
      </c>
      <c r="B10" s="2" t="str">
        <f>INDEX(PRICING[Agency/TT],MATCH(Rebate_Lookup[[#This Row],[SKU CODE]],PRICING[SKU],0))</f>
        <v>A</v>
      </c>
      <c r="C10" s="2" t="str">
        <f>INDEX(PRICING[Product],MATCH(Rebate_Lookup[[#This Row],[SKU CODE]],PRICING[SKU],0))</f>
        <v>Dismiss® NXT Herbicide</v>
      </c>
      <c r="D10" s="2" t="str">
        <f>INDEX(PRICING[Size],MATCH(Rebate_Lookup[[#This Row],[SKU CODE]],PRICING[SKU],0))</f>
        <v>60 oz</v>
      </c>
      <c r="E10" s="2" cm="1">
        <f t="array" ref="E10">SUM(COUNTIFS(
    PRICING[Program],{"EOP/ORN","ORN","EOP","NOW","LL/NOW","LL/SLP/NOW","LL/SLP/EOP"},
    PRICING[SKU],A10
))</f>
        <v>2</v>
      </c>
      <c r="F10" s="2" cm="1">
        <f t="array" ref="F10">IFERROR(
MIN(
_xlfn._xlws.FILTER(
--_xlfn.TEXTBEFORE(
SUBSTITUTE(
SUBSTITUTE(PRICING[Min Qty],"+"," "),
"-"," "
),
" "
),
(PRICING[SKU]=$A10)*
(PRICING[Set]=1)*
(PRICING[Rebate $]&lt;&gt;0)*
(PRICING[Rebate $]&lt;&gt;"")
)
),
0
)</f>
        <v>1</v>
      </c>
      <c r="G10" s="2" cm="1">
        <f t="array" ref="G10">IFERROR(
MIN(
_xlfn._xlws.FILTER(
--_xlfn.TEXTBEFORE(
SUBSTITUTE(
SUBSTITUTE(PRICING[Min Qty],"+"," "),
"-"," "
),
" "
),
(PRICING[SKU]=$A10)*
(PRICING[Set]=2)*
(PRICING[Rebate $]&lt;&gt;0)*
(PRICING[Rebate $]&lt;&gt;"")
)
),
0
)</f>
        <v>4</v>
      </c>
      <c r="H10" s="2" cm="1">
        <f t="array" ref="H10">IFERROR(
MIN(
_xlfn._xlws.FILTER(
--_xlfn.TEXTBEFORE(
SUBSTITUTE(
SUBSTITUTE(PRICING[Min Qty],"+"," "),
"-"," "
),
" "
),
(PRICING[SKU]=$A10)*
(PRICING[Set]=3)*
(PRICING[Rebate $]&lt;&gt;0)*
(PRICING[Rebate $]&lt;&gt;"")
)
),
0
)</f>
        <v>0</v>
      </c>
      <c r="I10" s="2" cm="1">
        <f t="array" ref="I10">IFERROR(
MIN(
_xlfn._xlws.FILTER(
--_xlfn.TEXTBEFORE(
SUBSTITUTE(
SUBSTITUTE(PRICING[Min Qty],"+"," "),
"-"," "
),
" "
),
(PRICING[SKU]=$A10)*
(PRICING[Set]=4)*
(PRICING[Rebate $]&lt;&gt;0)*
(PRICING[Rebate $]&lt;&gt;"")
)
),
0
)</f>
        <v>0</v>
      </c>
      <c r="J10" s="2" cm="1">
        <f t="array" ref="J10">SUM(
    SUMIFS(
        PRICING[Rebate $],
        PRICING[Program],
        {"EOP/ORN","ORN","EOP","NOW","LL/NOW","LL/SLP/NOW","LL/SLP/EOP"},
        PRICING[SKU],
        Rebate_Lookup[[#This Row],[SKU CODE]],
        PRICING[Set],
        1
    )
)</f>
        <v>24</v>
      </c>
      <c r="K10" s="2" cm="1">
        <f t="array" ref="K10">SUM(
    SUMIFS(
        PRICING[Rebate $],
        PRICING[Program],
        {"EOP/ORN","ORN","EOP","NOW","LL/NOW","LL/SLP/NOW","LL/SLP/EOP"},
        PRICING[SKU],
        Rebate_Lookup[[#This Row],[SKU CODE]],
        PRICING[Set],
        2
    )
)</f>
        <v>58</v>
      </c>
      <c r="L10" s="2" cm="1">
        <f t="array" ref="L10">SUM(
    SUMIFS(
        PRICING[Rebate $],
        PRICING[Program],
        {"EOP/ORN","ORN","EOP","NOW","LL/NOW","LL/SLP/NOW","LL/SLP/EOP"},
        PRICING[SKU],
        Rebate_Lookup[[#This Row],[SKU CODE]],
        PRICING[Set],
        3
    )
)</f>
        <v>0</v>
      </c>
      <c r="M10" s="2" cm="1">
        <f t="array" ref="M10">SUM(
    SUMIFS(
        PRICING[Rebate $],
        PRICING[Program],
        {"EOP/ORN","ORN","EOP","NOW","LL/NOW","LL/SLP/NOW","LL/SLP/EOP"},
        PRICING[SKU],
        Rebate_Lookup[[#This Row],[SKU CODE]],
        PRICING[Set],
        4
    )
)</f>
        <v>0</v>
      </c>
      <c r="N10" s="2">
        <f>INDEX(Estimates!H:H,MATCH(Rebate_Lookup[[#This Row],[SKU CODE]],Estimates!A:A,0))</f>
        <v>0</v>
      </c>
      <c r="O10" s="2"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10" s="2">
        <f>COUNTIF(Estimates!A:A,Rebate_Lookup[[#This Row],[SKU CODE]])</f>
        <v>1</v>
      </c>
      <c r="Q10" s="3" t="b">
        <f>IFERROR(Rebate_Lookup[[#This Row],[Order Form Quantity]]&gt;=Rebate_Lookup[[#This Row],[MOQ_2]],0)</f>
        <v>0</v>
      </c>
    </row>
    <row r="11" spans="1:17" x14ac:dyDescent="0.2">
      <c r="A11" s="186">
        <v>11008474</v>
      </c>
      <c r="B11" s="2" t="str">
        <f>INDEX(PRICING[Agency/TT],MATCH(Rebate_Lookup[[#This Row],[SKU CODE]],PRICING[SKU],0))</f>
        <v>TT</v>
      </c>
      <c r="C11" s="2" t="str">
        <f>INDEX(PRICING[Product],MATCH(Rebate_Lookup[[#This Row],[SKU CODE]],PRICING[SKU],0))</f>
        <v>Dismiss® South Herbicide</v>
      </c>
      <c r="D11" s="2" t="str">
        <f>INDEX(PRICING[Size],MATCH(Rebate_Lookup[[#This Row],[SKU CODE]],PRICING[SKU],0))</f>
        <v xml:space="preserve">1 pint </v>
      </c>
      <c r="E11" s="2" cm="1">
        <f t="array" ref="E11">SUM(COUNTIFS(
    PRICING[Program],{"EOP/ORN","ORN","EOP","NOW","LL/NOW","LL/SLP/NOW","LL/SLP/EOP"},
    PRICING[SKU],A11
))</f>
        <v>1</v>
      </c>
      <c r="F11" s="2" cm="1">
        <f t="array" ref="F11">IFERROR(
MIN(
_xlfn._xlws.FILTER(
--_xlfn.TEXTBEFORE(
SUBSTITUTE(
SUBSTITUTE(PRICING[Min Qty],"+"," "),
"-"," "
),
" "
),
(PRICING[SKU]=$A11)*
(PRICING[Set]=1)*
(PRICING[Rebate $]&lt;&gt;0)*
(PRICING[Rebate $]&lt;&gt;"")
)
),
0
)</f>
        <v>0</v>
      </c>
      <c r="G11" s="2" cm="1">
        <f t="array" ref="G11">IFERROR(
MIN(
_xlfn._xlws.FILTER(
--_xlfn.TEXTBEFORE(
SUBSTITUTE(
SUBSTITUTE(PRICING[Min Qty],"+"," "),
"-"," "
),
" "
),
(PRICING[SKU]=$A11)*
(PRICING[Set]=2)*
(PRICING[Rebate $]&lt;&gt;0)*
(PRICING[Rebate $]&lt;&gt;"")
)
),
0
)</f>
        <v>0</v>
      </c>
      <c r="H11" s="2" cm="1">
        <f t="array" ref="H11">IFERROR(
MIN(
_xlfn._xlws.FILTER(
--_xlfn.TEXTBEFORE(
SUBSTITUTE(
SUBSTITUTE(PRICING[Min Qty],"+"," "),
"-"," "
),
" "
),
(PRICING[SKU]=$A11)*
(PRICING[Set]=3)*
(PRICING[Rebate $]&lt;&gt;0)*
(PRICING[Rebate $]&lt;&gt;"")
)
),
0
)</f>
        <v>0</v>
      </c>
      <c r="I11" s="2" cm="1">
        <f t="array" ref="I11">IFERROR(
MIN(
_xlfn._xlws.FILTER(
--_xlfn.TEXTBEFORE(
SUBSTITUTE(
SUBSTITUTE(PRICING[Min Qty],"+"," "),
"-"," "
),
" "
),
(PRICING[SKU]=$A11)*
(PRICING[Set]=4)*
(PRICING[Rebate $]&lt;&gt;0)*
(PRICING[Rebate $]&lt;&gt;"")
)
),
0
)</f>
        <v>0</v>
      </c>
      <c r="J11" s="2" cm="1">
        <f t="array" ref="J11">SUM(
    SUMIFS(
        PRICING[Rebate $],
        PRICING[Program],
        {"EOP/ORN","ORN","EOP","NOW","LL/NOW","LL/SLP/NOW","LL/SLP/EOP"},
        PRICING[SKU],
        Rebate_Lookup[[#This Row],[SKU CODE]],
        PRICING[Set],
        1
    )
)</f>
        <v>25</v>
      </c>
      <c r="K11" s="2" cm="1">
        <f t="array" ref="K11">SUM(
    SUMIFS(
        PRICING[Rebate $],
        PRICING[Program],
        {"EOP/ORN","ORN","EOP","NOW","LL/NOW","LL/SLP/NOW","LL/SLP/EOP"},
        PRICING[SKU],
        Rebate_Lookup[[#This Row],[SKU CODE]],
        PRICING[Set],
        2
    )
)</f>
        <v>0</v>
      </c>
      <c r="L11" s="2" cm="1">
        <f t="array" ref="L11">SUM(
    SUMIFS(
        PRICING[Rebate $],
        PRICING[Program],
        {"EOP/ORN","ORN","EOP","NOW","LL/NOW","LL/SLP/NOW","LL/SLP/EOP"},
        PRICING[SKU],
        Rebate_Lookup[[#This Row],[SKU CODE]],
        PRICING[Set],
        3
    )
)</f>
        <v>0</v>
      </c>
      <c r="M11" s="2" cm="1">
        <f t="array" ref="M11">SUM(
    SUMIFS(
        PRICING[Rebate $],
        PRICING[Program],
        {"EOP/ORN","ORN","EOP","NOW","LL/NOW","LL/SLP/NOW","LL/SLP/EOP"},
        PRICING[SKU],
        Rebate_Lookup[[#This Row],[SKU CODE]],
        PRICING[Set],
        4
    )
)</f>
        <v>0</v>
      </c>
      <c r="N11" s="2">
        <f>INDEX(Estimates!H:H,MATCH(Rebate_Lookup[[#This Row],[SKU CODE]],Estimates!A:A,0))</f>
        <v>0</v>
      </c>
      <c r="O11"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11" s="2">
        <f>COUNTIF(Estimates!A:A,Rebate_Lookup[[#This Row],[SKU CODE]])</f>
        <v>1</v>
      </c>
      <c r="Q11" s="3" t="b">
        <f>IFERROR(Rebate_Lookup[[#This Row],[Order Form Quantity]]&gt;=Rebate_Lookup[[#This Row],[MOQ_2]],0)</f>
        <v>1</v>
      </c>
    </row>
    <row r="12" spans="1:17" x14ac:dyDescent="0.2">
      <c r="A12" s="186">
        <v>11008475</v>
      </c>
      <c r="B12" s="2" t="str">
        <f>INDEX(PRICING[Agency/TT],MATCH(Rebate_Lookup[[#This Row],[SKU CODE]],PRICING[SKU],0))</f>
        <v>TT</v>
      </c>
      <c r="C12" s="2" t="str">
        <f>INDEX(PRICING[Product],MATCH(Rebate_Lookup[[#This Row],[SKU CODE]],PRICING[SKU],0))</f>
        <v>Dismiss® Turf Herbicide</v>
      </c>
      <c r="D12" s="2" t="str">
        <f>INDEX(PRICING[Size],MATCH(Rebate_Lookup[[#This Row],[SKU CODE]],PRICING[SKU],0))</f>
        <v>6 oz</v>
      </c>
      <c r="E12" s="2" cm="1">
        <f t="array" ref="E12">SUM(COUNTIFS(
    PRICING[Program],{"EOP/ORN","ORN","EOP","NOW","LL/NOW","LL/SLP/NOW","LL/SLP/EOP"},
    PRICING[SKU],A12
))</f>
        <v>1</v>
      </c>
      <c r="F12" s="2" cm="1">
        <f t="array" ref="F12">IFERROR(
MIN(
_xlfn._xlws.FILTER(
--_xlfn.TEXTBEFORE(
SUBSTITUTE(
SUBSTITUTE(PRICING[Min Qty],"+"," "),
"-"," "
),
" "
),
(PRICING[SKU]=$A12)*
(PRICING[Set]=1)*
(PRICING[Rebate $]&lt;&gt;0)*
(PRICING[Rebate $]&lt;&gt;"")
)
),
0
)</f>
        <v>0</v>
      </c>
      <c r="G12" s="2" cm="1">
        <f t="array" ref="G12">IFERROR(
MIN(
_xlfn._xlws.FILTER(
--_xlfn.TEXTBEFORE(
SUBSTITUTE(
SUBSTITUTE(PRICING[Min Qty],"+"," "),
"-"," "
),
" "
),
(PRICING[SKU]=$A12)*
(PRICING[Set]=2)*
(PRICING[Rebate $]&lt;&gt;0)*
(PRICING[Rebate $]&lt;&gt;"")
)
),
0
)</f>
        <v>0</v>
      </c>
      <c r="H12" s="2" cm="1">
        <f t="array" ref="H12">IFERROR(
MIN(
_xlfn._xlws.FILTER(
--_xlfn.TEXTBEFORE(
SUBSTITUTE(
SUBSTITUTE(PRICING[Min Qty],"+"," "),
"-"," "
),
" "
),
(PRICING[SKU]=$A12)*
(PRICING[Set]=3)*
(PRICING[Rebate $]&lt;&gt;0)*
(PRICING[Rebate $]&lt;&gt;"")
)
),
0
)</f>
        <v>0</v>
      </c>
      <c r="I12" s="2" cm="1">
        <f t="array" ref="I12">IFERROR(
MIN(
_xlfn._xlws.FILTER(
--_xlfn.TEXTBEFORE(
SUBSTITUTE(
SUBSTITUTE(PRICING[Min Qty],"+"," "),
"-"," "
),
" "
),
(PRICING[SKU]=$A12)*
(PRICING[Set]=4)*
(PRICING[Rebate $]&lt;&gt;0)*
(PRICING[Rebate $]&lt;&gt;"")
)
),
0
)</f>
        <v>0</v>
      </c>
      <c r="J12" s="2" cm="1">
        <f t="array" ref="J12">SUM(
    SUMIFS(
        PRICING[Rebate $],
        PRICING[Program],
        {"EOP/ORN","ORN","EOP","NOW","LL/NOW","LL/SLP/NOW","LL/SLP/EOP"},
        PRICING[SKU],
        Rebate_Lookup[[#This Row],[SKU CODE]],
        PRICING[Set],
        1
    )
)</f>
        <v>18</v>
      </c>
      <c r="K12" s="2" cm="1">
        <f t="array" ref="K12">SUM(
    SUMIFS(
        PRICING[Rebate $],
        PRICING[Program],
        {"EOP/ORN","ORN","EOP","NOW","LL/NOW","LL/SLP/NOW","LL/SLP/EOP"},
        PRICING[SKU],
        Rebate_Lookup[[#This Row],[SKU CODE]],
        PRICING[Set],
        2
    )
)</f>
        <v>0</v>
      </c>
      <c r="L12" s="2" cm="1">
        <f t="array" ref="L12">SUM(
    SUMIFS(
        PRICING[Rebate $],
        PRICING[Program],
        {"EOP/ORN","ORN","EOP","NOW","LL/NOW","LL/SLP/NOW","LL/SLP/EOP"},
        PRICING[SKU],
        Rebate_Lookup[[#This Row],[SKU CODE]],
        PRICING[Set],
        3
    )
)</f>
        <v>0</v>
      </c>
      <c r="M12" s="2" cm="1">
        <f t="array" ref="M12">SUM(
    SUMIFS(
        PRICING[Rebate $],
        PRICING[Program],
        {"EOP/ORN","ORN","EOP","NOW","LL/NOW","LL/SLP/NOW","LL/SLP/EOP"},
        PRICING[SKU],
        Rebate_Lookup[[#This Row],[SKU CODE]],
        PRICING[Set],
        4
    )
)</f>
        <v>0</v>
      </c>
      <c r="N12" s="2">
        <f>INDEX(Estimates!H:H,MATCH(Rebate_Lookup[[#This Row],[SKU CODE]],Estimates!A:A,0))</f>
        <v>0</v>
      </c>
      <c r="O12"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12" s="2">
        <f>COUNTIF(Estimates!A:A,Rebate_Lookup[[#This Row],[SKU CODE]])</f>
        <v>1</v>
      </c>
      <c r="Q12" s="3" t="b">
        <f>IFERROR(Rebate_Lookup[[#This Row],[Order Form Quantity]]&gt;=Rebate_Lookup[[#This Row],[MOQ_2]],0)</f>
        <v>1</v>
      </c>
    </row>
    <row r="13" spans="1:17" x14ac:dyDescent="0.2">
      <c r="A13" s="186">
        <v>11008336</v>
      </c>
      <c r="B13" s="2" t="str">
        <f>INDEX(PRICING[Agency/TT],MATCH(Rebate_Lookup[[#This Row],[SKU CODE]],PRICING[SKU],0))</f>
        <v>TT</v>
      </c>
      <c r="C13" s="2" t="str">
        <f>INDEX(PRICING[Product],MATCH(Rebate_Lookup[[#This Row],[SKU CODE]],PRICING[SKU],0))</f>
        <v>Dismiss® Turf Herbicide</v>
      </c>
      <c r="D13" s="2" t="str">
        <f>INDEX(PRICING[Size],MATCH(Rebate_Lookup[[#This Row],[SKU CODE]],PRICING[SKU],0))</f>
        <v>64 oz</v>
      </c>
      <c r="E13" s="2" cm="1">
        <f t="array" ref="E13">SUM(COUNTIFS(
    PRICING[Program],{"EOP/ORN","ORN","EOP","NOW","LL/NOW","LL/SLP/NOW","LL/SLP/EOP"},
    PRICING[SKU],A13
))</f>
        <v>1</v>
      </c>
      <c r="F13" s="2" cm="1">
        <f t="array" ref="F13">IFERROR(
MIN(
_xlfn._xlws.FILTER(
--_xlfn.TEXTBEFORE(
SUBSTITUTE(
SUBSTITUTE(PRICING[Min Qty],"+"," "),
"-"," "
),
" "
),
(PRICING[SKU]=$A13)*
(PRICING[Set]=1)*
(PRICING[Rebate $]&lt;&gt;0)*
(PRICING[Rebate $]&lt;&gt;"")
)
),
0
)</f>
        <v>0</v>
      </c>
      <c r="G13" s="2" cm="1">
        <f t="array" ref="G13">IFERROR(
MIN(
_xlfn._xlws.FILTER(
--_xlfn.TEXTBEFORE(
SUBSTITUTE(
SUBSTITUTE(PRICING[Min Qty],"+"," "),
"-"," "
),
" "
),
(PRICING[SKU]=$A13)*
(PRICING[Set]=2)*
(PRICING[Rebate $]&lt;&gt;0)*
(PRICING[Rebate $]&lt;&gt;"")
)
),
0
)</f>
        <v>0</v>
      </c>
      <c r="H13" s="2" cm="1">
        <f t="array" ref="H13">IFERROR(
MIN(
_xlfn._xlws.FILTER(
--_xlfn.TEXTBEFORE(
SUBSTITUTE(
SUBSTITUTE(PRICING[Min Qty],"+"," "),
"-"," "
),
" "
),
(PRICING[SKU]=$A13)*
(PRICING[Set]=3)*
(PRICING[Rebate $]&lt;&gt;0)*
(PRICING[Rebate $]&lt;&gt;"")
)
),
0
)</f>
        <v>0</v>
      </c>
      <c r="I13" s="2" cm="1">
        <f t="array" ref="I13">IFERROR(
MIN(
_xlfn._xlws.FILTER(
--_xlfn.TEXTBEFORE(
SUBSTITUTE(
SUBSTITUTE(PRICING[Min Qty],"+"," "),
"-"," "
),
" "
),
(PRICING[SKU]=$A13)*
(PRICING[Set]=4)*
(PRICING[Rebate $]&lt;&gt;0)*
(PRICING[Rebate $]&lt;&gt;"")
)
),
0
)</f>
        <v>0</v>
      </c>
      <c r="J13" s="2" cm="1">
        <f t="array" ref="J13">SUM(
    SUMIFS(
        PRICING[Rebate $],
        PRICING[Program],
        {"EOP/ORN","ORN","EOP","NOW","LL/NOW","LL/SLP/NOW","LL/SLP/EOP"},
        PRICING[SKU],
        Rebate_Lookup[[#This Row],[SKU CODE]],
        PRICING[Set],
        1
    )
)</f>
        <v>40</v>
      </c>
      <c r="K13" s="2" cm="1">
        <f t="array" ref="K13">SUM(
    SUMIFS(
        PRICING[Rebate $],
        PRICING[Program],
        {"EOP/ORN","ORN","EOP","NOW","LL/NOW","LL/SLP/NOW","LL/SLP/EOP"},
        PRICING[SKU],
        Rebate_Lookup[[#This Row],[SKU CODE]],
        PRICING[Set],
        2
    )
)</f>
        <v>0</v>
      </c>
      <c r="L13" s="2" cm="1">
        <f t="array" ref="L13">SUM(
    SUMIFS(
        PRICING[Rebate $],
        PRICING[Program],
        {"EOP/ORN","ORN","EOP","NOW","LL/NOW","LL/SLP/NOW","LL/SLP/EOP"},
        PRICING[SKU],
        Rebate_Lookup[[#This Row],[SKU CODE]],
        PRICING[Set],
        3
    )
)</f>
        <v>0</v>
      </c>
      <c r="M13" s="2" cm="1">
        <f t="array" ref="M13">SUM(
    SUMIFS(
        PRICING[Rebate $],
        PRICING[Program],
        {"EOP/ORN","ORN","EOP","NOW","LL/NOW","LL/SLP/NOW","LL/SLP/EOP"},
        PRICING[SKU],
        Rebate_Lookup[[#This Row],[SKU CODE]],
        PRICING[Set],
        4
    )
)</f>
        <v>0</v>
      </c>
      <c r="N13" s="2">
        <f>INDEX(Estimates!H:H,MATCH(Rebate_Lookup[[#This Row],[SKU CODE]],Estimates!A:A,0))</f>
        <v>0</v>
      </c>
      <c r="O13"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13" s="2">
        <f>COUNTIF(Estimates!A:A,Rebate_Lookup[[#This Row],[SKU CODE]])</f>
        <v>1</v>
      </c>
      <c r="Q13" s="3" t="b">
        <f>IFERROR(Rebate_Lookup[[#This Row],[Order Form Quantity]]&gt;=Rebate_Lookup[[#This Row],[MOQ_2]],0)</f>
        <v>1</v>
      </c>
    </row>
    <row r="14" spans="1:17" x14ac:dyDescent="0.2">
      <c r="A14" s="186" t="s">
        <v>69</v>
      </c>
      <c r="B14" s="2" t="str">
        <f>INDEX(PRICING[Agency/TT],MATCH(Rebate_Lookup[[#This Row],[SKU CODE]],PRICING[SKU],0))</f>
        <v>TT</v>
      </c>
      <c r="C14" s="2" t="str">
        <f>INDEX(PRICING[Product],MATCH(Rebate_Lookup[[#This Row],[SKU CODE]],PRICING[SKU],0))</f>
        <v>Durentis® 0.058% On-Fertilizer</v>
      </c>
      <c r="D14" s="2" t="str">
        <f>INDEX(PRICING[Size],MATCH(Rebate_Lookup[[#This Row],[SKU CODE]],PRICING[SKU],0))</f>
        <v>50 lb</v>
      </c>
      <c r="E14" s="2" cm="1">
        <f t="array" ref="E14">SUM(COUNTIFS(
    PRICING[Program],{"EOP/ORN","ORN","EOP","NOW","LL/NOW","LL/SLP/NOW","LL/SLP/EOP"},
    PRICING[SKU],A14
))</f>
        <v>1</v>
      </c>
      <c r="F14" s="2" cm="1">
        <f t="array" ref="F14">IFERROR(
MIN(
_xlfn._xlws.FILTER(
--_xlfn.TEXTBEFORE(
SUBSTITUTE(
SUBSTITUTE(PRICING[Min Qty],"+"," "),
"-"," "
),
" "
),
(PRICING[SKU]=$A14)*
(PRICING[Set]=1)*
(PRICING[Rebate $]&lt;&gt;0)*
(PRICING[Rebate $]&lt;&gt;"")
)
),
0
)</f>
        <v>0</v>
      </c>
      <c r="G14" s="2" cm="1">
        <f t="array" ref="G14">IFERROR(
MIN(
_xlfn._xlws.FILTER(
--_xlfn.TEXTBEFORE(
SUBSTITUTE(
SUBSTITUTE(PRICING[Min Qty],"+"," "),
"-"," "
),
" "
),
(PRICING[SKU]=$A14)*
(PRICING[Set]=2)*
(PRICING[Rebate $]&lt;&gt;0)*
(PRICING[Rebate $]&lt;&gt;"")
)
),
0
)</f>
        <v>0</v>
      </c>
      <c r="H14" s="2" cm="1">
        <f t="array" ref="H14">IFERROR(
MIN(
_xlfn._xlws.FILTER(
--_xlfn.TEXTBEFORE(
SUBSTITUTE(
SUBSTITUTE(PRICING[Min Qty],"+"," "),
"-"," "
),
" "
),
(PRICING[SKU]=$A14)*
(PRICING[Set]=3)*
(PRICING[Rebate $]&lt;&gt;0)*
(PRICING[Rebate $]&lt;&gt;"")
)
),
0
)</f>
        <v>0</v>
      </c>
      <c r="I14" s="2" cm="1">
        <f t="array" ref="I14">IFERROR(
MIN(
_xlfn._xlws.FILTER(
--_xlfn.TEXTBEFORE(
SUBSTITUTE(
SUBSTITUTE(PRICING[Min Qty],"+"," "),
"-"," "
),
" "
),
(PRICING[SKU]=$A14)*
(PRICING[Set]=4)*
(PRICING[Rebate $]&lt;&gt;0)*
(PRICING[Rebate $]&lt;&gt;"")
)
),
0
)</f>
        <v>0</v>
      </c>
      <c r="J14" s="2" cm="1">
        <f t="array" ref="J14">SUM(
    SUMIFS(
        PRICING[Rebate $],
        PRICING[Program],
        {"EOP/ORN","ORN","EOP","NOW","LL/NOW","LL/SLP/NOW","LL/SLP/EOP"},
        PRICING[SKU],
        Rebate_Lookup[[#This Row],[SKU CODE]],
        PRICING[Set],
        1
    )
)</f>
        <v>2.5</v>
      </c>
      <c r="K14" s="2" cm="1">
        <f t="array" ref="K14">SUM(
    SUMIFS(
        PRICING[Rebate $],
        PRICING[Program],
        {"EOP/ORN","ORN","EOP","NOW","LL/NOW","LL/SLP/NOW","LL/SLP/EOP"},
        PRICING[SKU],
        Rebate_Lookup[[#This Row],[SKU CODE]],
        PRICING[Set],
        2
    )
)</f>
        <v>0</v>
      </c>
      <c r="L14" s="2" cm="1">
        <f t="array" ref="L14">SUM(
    SUMIFS(
        PRICING[Rebate $],
        PRICING[Program],
        {"EOP/ORN","ORN","EOP","NOW","LL/NOW","LL/SLP/NOW","LL/SLP/EOP"},
        PRICING[SKU],
        Rebate_Lookup[[#This Row],[SKU CODE]],
        PRICING[Set],
        3
    )
)</f>
        <v>0</v>
      </c>
      <c r="M14" s="2" cm="1">
        <f t="array" ref="M14">SUM(
    SUMIFS(
        PRICING[Rebate $],
        PRICING[Program],
        {"EOP/ORN","ORN","EOP","NOW","LL/NOW","LL/SLP/NOW","LL/SLP/EOP"},
        PRICING[SKU],
        Rebate_Lookup[[#This Row],[SKU CODE]],
        PRICING[Set],
        4
    )
)</f>
        <v>0</v>
      </c>
      <c r="N14" s="2">
        <f>INDEX(Estimates!H:H,MATCH(Rebate_Lookup[[#This Row],[SKU CODE]],Estimates!A:A,0))</f>
        <v>0</v>
      </c>
      <c r="O14"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14" s="2">
        <f>COUNTIF(Estimates!A:A,Rebate_Lookup[[#This Row],[SKU CODE]])</f>
        <v>1</v>
      </c>
      <c r="Q14" s="3" t="b">
        <f>IFERROR(Rebate_Lookup[[#This Row],[Order Form Quantity]]&gt;=Rebate_Lookup[[#This Row],[MOQ_2]],0)</f>
        <v>1</v>
      </c>
    </row>
    <row r="15" spans="1:17" x14ac:dyDescent="0.2">
      <c r="A15" s="186" t="s">
        <v>70</v>
      </c>
      <c r="B15" s="2" t="str">
        <f>INDEX(PRICING[Agency/TT],MATCH(Rebate_Lookup[[#This Row],[SKU CODE]],PRICING[SKU],0))</f>
        <v>TT</v>
      </c>
      <c r="C15" s="2" t="str">
        <f>INDEX(PRICING[Product],MATCH(Rebate_Lookup[[#This Row],[SKU CODE]],PRICING[SKU],0))</f>
        <v>Durentis® 0.067% On-Fertilizer</v>
      </c>
      <c r="D15" s="2" t="str">
        <f>INDEX(PRICING[Size],MATCH(Rebate_Lookup[[#This Row],[SKU CODE]],PRICING[SKU],0))</f>
        <v>50 lb</v>
      </c>
      <c r="E15" s="2" cm="1">
        <f t="array" ref="E15">SUM(COUNTIFS(
    PRICING[Program],{"EOP/ORN","ORN","EOP","NOW","LL/NOW","LL/SLP/NOW","LL/SLP/EOP"},
    PRICING[SKU],A15
))</f>
        <v>1</v>
      </c>
      <c r="F15" s="2" cm="1">
        <f t="array" ref="F15">IFERROR(
MIN(
_xlfn._xlws.FILTER(
--_xlfn.TEXTBEFORE(
SUBSTITUTE(
SUBSTITUTE(PRICING[Min Qty],"+"," "),
"-"," "
),
" "
),
(PRICING[SKU]=$A15)*
(PRICING[Set]=1)*
(PRICING[Rebate $]&lt;&gt;0)*
(PRICING[Rebate $]&lt;&gt;"")
)
),
0
)</f>
        <v>0</v>
      </c>
      <c r="G15" s="2" cm="1">
        <f t="array" ref="G15">IFERROR(
MIN(
_xlfn._xlws.FILTER(
--_xlfn.TEXTBEFORE(
SUBSTITUTE(
SUBSTITUTE(PRICING[Min Qty],"+"," "),
"-"," "
),
" "
),
(PRICING[SKU]=$A15)*
(PRICING[Set]=2)*
(PRICING[Rebate $]&lt;&gt;0)*
(PRICING[Rebate $]&lt;&gt;"")
)
),
0
)</f>
        <v>0</v>
      </c>
      <c r="H15" s="2" cm="1">
        <f t="array" ref="H15">IFERROR(
MIN(
_xlfn._xlws.FILTER(
--_xlfn.TEXTBEFORE(
SUBSTITUTE(
SUBSTITUTE(PRICING[Min Qty],"+"," "),
"-"," "
),
" "
),
(PRICING[SKU]=$A15)*
(PRICING[Set]=3)*
(PRICING[Rebate $]&lt;&gt;0)*
(PRICING[Rebate $]&lt;&gt;"")
)
),
0
)</f>
        <v>0</v>
      </c>
      <c r="I15" s="2" cm="1">
        <f t="array" ref="I15">IFERROR(
MIN(
_xlfn._xlws.FILTER(
--_xlfn.TEXTBEFORE(
SUBSTITUTE(
SUBSTITUTE(PRICING[Min Qty],"+"," "),
"-"," "
),
" "
),
(PRICING[SKU]=$A15)*
(PRICING[Set]=4)*
(PRICING[Rebate $]&lt;&gt;0)*
(PRICING[Rebate $]&lt;&gt;"")
)
),
0
)</f>
        <v>0</v>
      </c>
      <c r="J15" s="2" cm="1">
        <f t="array" ref="J15">SUM(
    SUMIFS(
        PRICING[Rebate $],
        PRICING[Program],
        {"EOP/ORN","ORN","EOP","NOW","LL/NOW","LL/SLP/NOW","LL/SLP/EOP"},
        PRICING[SKU],
        Rebate_Lookup[[#This Row],[SKU CODE]],
        PRICING[Set],
        1
    )
)</f>
        <v>5.5</v>
      </c>
      <c r="K15" s="2" cm="1">
        <f t="array" ref="K15">SUM(
    SUMIFS(
        PRICING[Rebate $],
        PRICING[Program],
        {"EOP/ORN","ORN","EOP","NOW","LL/NOW","LL/SLP/NOW","LL/SLP/EOP"},
        PRICING[SKU],
        Rebate_Lookup[[#This Row],[SKU CODE]],
        PRICING[Set],
        2
    )
)</f>
        <v>0</v>
      </c>
      <c r="L15" s="2" cm="1">
        <f t="array" ref="L15">SUM(
    SUMIFS(
        PRICING[Rebate $],
        PRICING[Program],
        {"EOP/ORN","ORN","EOP","NOW","LL/NOW","LL/SLP/NOW","LL/SLP/EOP"},
        PRICING[SKU],
        Rebate_Lookup[[#This Row],[SKU CODE]],
        PRICING[Set],
        3
    )
)</f>
        <v>0</v>
      </c>
      <c r="M15" s="2" cm="1">
        <f t="array" ref="M15">SUM(
    SUMIFS(
        PRICING[Rebate $],
        PRICING[Program],
        {"EOP/ORN","ORN","EOP","NOW","LL/NOW","LL/SLP/NOW","LL/SLP/EOP"},
        PRICING[SKU],
        Rebate_Lookup[[#This Row],[SKU CODE]],
        PRICING[Set],
        4
    )
)</f>
        <v>0</v>
      </c>
      <c r="N15" s="2">
        <f>INDEX(Estimates!H:H,MATCH(Rebate_Lookup[[#This Row],[SKU CODE]],Estimates!A:A,0))</f>
        <v>0</v>
      </c>
      <c r="O15"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15" s="2">
        <f>COUNTIF(Estimates!A:A,Rebate_Lookup[[#This Row],[SKU CODE]])</f>
        <v>1</v>
      </c>
      <c r="Q15" s="3" t="b">
        <f>IFERROR(Rebate_Lookup[[#This Row],[Order Form Quantity]]&gt;=Rebate_Lookup[[#This Row],[MOQ_2]],0)</f>
        <v>1</v>
      </c>
    </row>
    <row r="16" spans="1:17" x14ac:dyDescent="0.2">
      <c r="A16" s="186">
        <v>11015390</v>
      </c>
      <c r="B16" s="2" t="str">
        <f>INDEX(PRICING[Agency/TT],MATCH(Rebate_Lookup[[#This Row],[SKU CODE]],PRICING[SKU],0))</f>
        <v>A</v>
      </c>
      <c r="C16" s="2" t="str">
        <f>INDEX(PRICING[Product],MATCH(Rebate_Lookup[[#This Row],[SKU CODE]],PRICING[SKU],0))</f>
        <v xml:space="preserve">Durentis® Insecticide  </v>
      </c>
      <c r="D16" s="2" t="str">
        <f>INDEX(PRICING[Size],MATCH(Rebate_Lookup[[#This Row],[SKU CODE]],PRICING[SKU],0))</f>
        <v>16 oz</v>
      </c>
      <c r="E16" s="2" cm="1">
        <f t="array" ref="E16">SUM(COUNTIFS(
    PRICING[Program],{"EOP/ORN","ORN","EOP","NOW","LL/NOW","LL/SLP/NOW","LL/SLP/EOP"},
    PRICING[SKU],A16
))</f>
        <v>2</v>
      </c>
      <c r="F16" s="2" cm="1">
        <f t="array" ref="F16">IFERROR(
MIN(
_xlfn._xlws.FILTER(
--_xlfn.TEXTBEFORE(
SUBSTITUTE(
SUBSTITUTE(PRICING[Min Qty],"+"," "),
"-"," "
),
" "
),
(PRICING[SKU]=$A16)*
(PRICING[Set]=1)*
(PRICING[Rebate $]&lt;&gt;0)*
(PRICING[Rebate $]&lt;&gt;"")
)
),
0
)</f>
        <v>0</v>
      </c>
      <c r="G16" s="2" cm="1">
        <f t="array" ref="G16">IFERROR(
MIN(
_xlfn._xlws.FILTER(
--_xlfn.TEXTBEFORE(
SUBSTITUTE(
SUBSTITUTE(PRICING[Min Qty],"+"," "),
"-"," "
),
" "
),
(PRICING[SKU]=$A16)*
(PRICING[Set]=2)*
(PRICING[Rebate $]&lt;&gt;0)*
(PRICING[Rebate $]&lt;&gt;"")
)
),
0
)</f>
        <v>4</v>
      </c>
      <c r="H16" s="2" cm="1">
        <f t="array" ref="H16">IFERROR(
MIN(
_xlfn._xlws.FILTER(
--_xlfn.TEXTBEFORE(
SUBSTITUTE(
SUBSTITUTE(PRICING[Min Qty],"+"," "),
"-"," "
),
" "
),
(PRICING[SKU]=$A16)*
(PRICING[Set]=3)*
(PRICING[Rebate $]&lt;&gt;0)*
(PRICING[Rebate $]&lt;&gt;"")
)
),
0
)</f>
        <v>0</v>
      </c>
      <c r="I16" s="2" cm="1">
        <f t="array" ref="I16">IFERROR(
MIN(
_xlfn._xlws.FILTER(
--_xlfn.TEXTBEFORE(
SUBSTITUTE(
SUBSTITUTE(PRICING[Min Qty],"+"," "),
"-"," "
),
" "
),
(PRICING[SKU]=$A16)*
(PRICING[Set]=4)*
(PRICING[Rebate $]&lt;&gt;0)*
(PRICING[Rebate $]&lt;&gt;"")
)
),
0
)</f>
        <v>0</v>
      </c>
      <c r="J16" s="2" cm="1">
        <f t="array" ref="J16">SUM(
    SUMIFS(
        PRICING[Rebate $],
        PRICING[Program],
        {"EOP/ORN","ORN","EOP","NOW","LL/NOW","LL/SLP/NOW","LL/SLP/EOP"},
        PRICING[SKU],
        Rebate_Lookup[[#This Row],[SKU CODE]],
        PRICING[Set],
        1
    )
)</f>
        <v>0</v>
      </c>
      <c r="K16" s="2" cm="1">
        <f t="array" ref="K16">SUM(
    SUMIFS(
        PRICING[Rebate $],
        PRICING[Program],
        {"EOP/ORN","ORN","EOP","NOW","LL/NOW","LL/SLP/NOW","LL/SLP/EOP"},
        PRICING[SKU],
        Rebate_Lookup[[#This Row],[SKU CODE]],
        PRICING[Set],
        2
    )
)</f>
        <v>185</v>
      </c>
      <c r="L16" s="2" cm="1">
        <f t="array" ref="L16">SUM(
    SUMIFS(
        PRICING[Rebate $],
        PRICING[Program],
        {"EOP/ORN","ORN","EOP","NOW","LL/NOW","LL/SLP/NOW","LL/SLP/EOP"},
        PRICING[SKU],
        Rebate_Lookup[[#This Row],[SKU CODE]],
        PRICING[Set],
        3
    )
)</f>
        <v>0</v>
      </c>
      <c r="M16" s="2" cm="1">
        <f t="array" ref="M16">SUM(
    SUMIFS(
        PRICING[Rebate $],
        PRICING[Program],
        {"EOP/ORN","ORN","EOP","NOW","LL/NOW","LL/SLP/NOW","LL/SLP/EOP"},
        PRICING[SKU],
        Rebate_Lookup[[#This Row],[SKU CODE]],
        PRICING[Set],
        4
    )
)</f>
        <v>0</v>
      </c>
      <c r="N16" s="2">
        <f>INDEX(Estimates!H:H,MATCH(Rebate_Lookup[[#This Row],[SKU CODE]],Estimates!A:A,0))</f>
        <v>0</v>
      </c>
      <c r="O16"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16" s="2">
        <f>COUNTIF(Estimates!A:A,Rebate_Lookup[[#This Row],[SKU CODE]])</f>
        <v>1</v>
      </c>
      <c r="Q16" s="3" t="b">
        <f>IFERROR(Rebate_Lookup[[#This Row],[Order Form Quantity]]&gt;=Rebate_Lookup[[#This Row],[MOQ_2]],0)</f>
        <v>0</v>
      </c>
    </row>
    <row r="17" spans="1:17" x14ac:dyDescent="0.2">
      <c r="A17" s="186">
        <v>11015391</v>
      </c>
      <c r="B17" s="2" t="str">
        <f>INDEX(PRICING[Agency/TT],MATCH(Rebate_Lookup[[#This Row],[SKU CODE]],PRICING[SKU],0))</f>
        <v>A</v>
      </c>
      <c r="C17" s="2" t="str">
        <f>INDEX(PRICING[Product],MATCH(Rebate_Lookup[[#This Row],[SKU CODE]],PRICING[SKU],0))</f>
        <v xml:space="preserve">Durentis® Insecticide  </v>
      </c>
      <c r="D17" s="2" t="str">
        <f>INDEX(PRICING[Size],MATCH(Rebate_Lookup[[#This Row],[SKU CODE]],PRICING[SKU],0))</f>
        <v>64 oz</v>
      </c>
      <c r="E17" s="2" cm="1">
        <f t="array" ref="E17">SUM(COUNTIFS(
    PRICING[Program],{"EOP/ORN","ORN","EOP","NOW","LL/NOW","LL/SLP/NOW","LL/SLP/EOP"},
    PRICING[SKU],A17
))</f>
        <v>3</v>
      </c>
      <c r="F17" s="2" cm="1">
        <f t="array" ref="F17">IFERROR(
MIN(
_xlfn._xlws.FILTER(
--_xlfn.TEXTBEFORE(
SUBSTITUTE(
SUBSTITUTE(PRICING[Min Qty],"+"," "),
"-"," "
),
" "
),
(PRICING[SKU]=$A17)*
(PRICING[Set]=1)*
(PRICING[Rebate $]&lt;&gt;0)*
(PRICING[Rebate $]&lt;&gt;"")
)
),
0
)</f>
        <v>0</v>
      </c>
      <c r="G17" s="2" cm="1">
        <f t="array" ref="G17">IFERROR(
MIN(
_xlfn._xlws.FILTER(
--_xlfn.TEXTBEFORE(
SUBSTITUTE(
SUBSTITUTE(PRICING[Min Qty],"+"," "),
"-"," "
),
" "
),
(PRICING[SKU]=$A17)*
(PRICING[Set]=2)*
(PRICING[Rebate $]&lt;&gt;0)*
(PRICING[Rebate $]&lt;&gt;"")
)
),
0
)</f>
        <v>2</v>
      </c>
      <c r="H17" s="2" cm="1">
        <f t="array" ref="H17">IFERROR(
MIN(
_xlfn._xlws.FILTER(
--_xlfn.TEXTBEFORE(
SUBSTITUTE(
SUBSTITUTE(PRICING[Min Qty],"+"," "),
"-"," "
),
" "
),
(PRICING[SKU]=$A17)*
(PRICING[Set]=3)*
(PRICING[Rebate $]&lt;&gt;0)*
(PRICING[Rebate $]&lt;&gt;"")
)
),
0
)</f>
        <v>4</v>
      </c>
      <c r="I17" s="2" cm="1">
        <f t="array" ref="I17">IFERROR(
MIN(
_xlfn._xlws.FILTER(
--_xlfn.TEXTBEFORE(
SUBSTITUTE(
SUBSTITUTE(PRICING[Min Qty],"+"," "),
"-"," "
),
" "
),
(PRICING[SKU]=$A17)*
(PRICING[Set]=4)*
(PRICING[Rebate $]&lt;&gt;0)*
(PRICING[Rebate $]&lt;&gt;"")
)
),
0
)</f>
        <v>0</v>
      </c>
      <c r="J17" s="2" cm="1">
        <f t="array" ref="J17">SUM(
    SUMIFS(
        PRICING[Rebate $],
        PRICING[Program],
        {"EOP/ORN","ORN","EOP","NOW","LL/NOW","LL/SLP/NOW","LL/SLP/EOP"},
        PRICING[SKU],
        Rebate_Lookup[[#This Row],[SKU CODE]],
        PRICING[Set],
        1
    )
)</f>
        <v>0</v>
      </c>
      <c r="K17" s="2" cm="1">
        <f t="array" ref="K17">SUM(
    SUMIFS(
        PRICING[Rebate $],
        PRICING[Program],
        {"EOP/ORN","ORN","EOP","NOW","LL/NOW","LL/SLP/NOW","LL/SLP/EOP"},
        PRICING[SKU],
        Rebate_Lookup[[#This Row],[SKU CODE]],
        PRICING[Set],
        2
    )
)</f>
        <v>482</v>
      </c>
      <c r="L17" s="2" cm="1">
        <f t="array" ref="L17">SUM(
    SUMIFS(
        PRICING[Rebate $],
        PRICING[Program],
        {"EOP/ORN","ORN","EOP","NOW","LL/NOW","LL/SLP/NOW","LL/SLP/EOP"},
        PRICING[SKU],
        Rebate_Lookup[[#This Row],[SKU CODE]],
        PRICING[Set],
        3
    )
)</f>
        <v>650</v>
      </c>
      <c r="M17" s="2" cm="1">
        <f t="array" ref="M17">SUM(
    SUMIFS(
        PRICING[Rebate $],
        PRICING[Program],
        {"EOP/ORN","ORN","EOP","NOW","LL/NOW","LL/SLP/NOW","LL/SLP/EOP"},
        PRICING[SKU],
        Rebate_Lookup[[#This Row],[SKU CODE]],
        PRICING[Set],
        4
    )
)</f>
        <v>0</v>
      </c>
      <c r="N17" s="2">
        <f>INDEX(Estimates!H:H,MATCH(Rebate_Lookup[[#This Row],[SKU CODE]],Estimates!A:A,0))</f>
        <v>0</v>
      </c>
      <c r="O17"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17" s="2">
        <f>COUNTIF(Estimates!A:A,Rebate_Lookup[[#This Row],[SKU CODE]])</f>
        <v>1</v>
      </c>
      <c r="Q17" s="3" t="b">
        <f>IFERROR(Rebate_Lookup[[#This Row],[Order Form Quantity]]&gt;=Rebate_Lookup[[#This Row],[MOQ_2]],0)</f>
        <v>0</v>
      </c>
    </row>
    <row r="18" spans="1:17" x14ac:dyDescent="0.2">
      <c r="A18" s="186" t="s">
        <v>71</v>
      </c>
      <c r="B18" s="2" t="str">
        <f>INDEX(PRICING[Agency/TT],MATCH(Rebate_Lookup[[#This Row],[SKU CODE]],PRICING[SKU],0))</f>
        <v>TT</v>
      </c>
      <c r="C18" s="2" t="str">
        <f>INDEX(PRICING[Product],MATCH(Rebate_Lookup[[#This Row],[SKU CODE]],PRICING[SKU],0))</f>
        <v xml:space="preserve">Dylox® 420 SL </v>
      </c>
      <c r="D18" s="2" t="str">
        <f>INDEX(PRICING[Size],MATCH(Rebate_Lookup[[#This Row],[SKU CODE]],PRICING[SKU],0))</f>
        <v xml:space="preserve">2.5 gal </v>
      </c>
      <c r="E18" s="2" cm="1">
        <f t="array" ref="E18">SUM(COUNTIFS(
    PRICING[Program],{"EOP/ORN","ORN","EOP","NOW","LL/NOW","LL/SLP/NOW","LL/SLP/EOP"},
    PRICING[SKU],A18
))</f>
        <v>1</v>
      </c>
      <c r="F18" s="2" cm="1">
        <f t="array" ref="F18">IFERROR(
MIN(
_xlfn._xlws.FILTER(
--_xlfn.TEXTBEFORE(
SUBSTITUTE(
SUBSTITUTE(PRICING[Min Qty],"+"," "),
"-"," "
),
" "
),
(PRICING[SKU]=$A18)*
(PRICING[Set]=1)*
(PRICING[Rebate $]&lt;&gt;0)*
(PRICING[Rebate $]&lt;&gt;"")
)
),
0
)</f>
        <v>0</v>
      </c>
      <c r="G18" s="2" cm="1">
        <f t="array" ref="G18">IFERROR(
MIN(
_xlfn._xlws.FILTER(
--_xlfn.TEXTBEFORE(
SUBSTITUTE(
SUBSTITUTE(PRICING[Min Qty],"+"," "),
"-"," "
),
" "
),
(PRICING[SKU]=$A18)*
(PRICING[Set]=2)*
(PRICING[Rebate $]&lt;&gt;0)*
(PRICING[Rebate $]&lt;&gt;"")
)
),
0
)</f>
        <v>0</v>
      </c>
      <c r="H18" s="2" cm="1">
        <f t="array" ref="H18">IFERROR(
MIN(
_xlfn._xlws.FILTER(
--_xlfn.TEXTBEFORE(
SUBSTITUTE(
SUBSTITUTE(PRICING[Min Qty],"+"," "),
"-"," "
),
" "
),
(PRICING[SKU]=$A18)*
(PRICING[Set]=3)*
(PRICING[Rebate $]&lt;&gt;0)*
(PRICING[Rebate $]&lt;&gt;"")
)
),
0
)</f>
        <v>0</v>
      </c>
      <c r="I18" s="2" cm="1">
        <f t="array" ref="I18">IFERROR(
MIN(
_xlfn._xlws.FILTER(
--_xlfn.TEXTBEFORE(
SUBSTITUTE(
SUBSTITUTE(PRICING[Min Qty],"+"," "),
"-"," "
),
" "
),
(PRICING[SKU]=$A18)*
(PRICING[Set]=4)*
(PRICING[Rebate $]&lt;&gt;0)*
(PRICING[Rebate $]&lt;&gt;"")
)
),
0
)</f>
        <v>0</v>
      </c>
      <c r="J18" s="2" cm="1">
        <f t="array" ref="J18">SUM(
    SUMIFS(
        PRICING[Rebate $],
        PRICING[Program],
        {"EOP/ORN","ORN","EOP","NOW","LL/NOW","LL/SLP/NOW","LL/SLP/EOP"},
        PRICING[SKU],
        Rebate_Lookup[[#This Row],[SKU CODE]],
        PRICING[Set],
        1
    )
)</f>
        <v>4</v>
      </c>
      <c r="K18" s="2" cm="1">
        <f t="array" ref="K18">SUM(
    SUMIFS(
        PRICING[Rebate $],
        PRICING[Program],
        {"EOP/ORN","ORN","EOP","NOW","LL/NOW","LL/SLP/NOW","LL/SLP/EOP"},
        PRICING[SKU],
        Rebate_Lookup[[#This Row],[SKU CODE]],
        PRICING[Set],
        2
    )
)</f>
        <v>0</v>
      </c>
      <c r="L18" s="2" cm="1">
        <f t="array" ref="L18">SUM(
    SUMIFS(
        PRICING[Rebate $],
        PRICING[Program],
        {"EOP/ORN","ORN","EOP","NOW","LL/NOW","LL/SLP/NOW","LL/SLP/EOP"},
        PRICING[SKU],
        Rebate_Lookup[[#This Row],[SKU CODE]],
        PRICING[Set],
        3
    )
)</f>
        <v>0</v>
      </c>
      <c r="M18" s="2" cm="1">
        <f t="array" ref="M18">SUM(
    SUMIFS(
        PRICING[Rebate $],
        PRICING[Program],
        {"EOP/ORN","ORN","EOP","NOW","LL/NOW","LL/SLP/NOW","LL/SLP/EOP"},
        PRICING[SKU],
        Rebate_Lookup[[#This Row],[SKU CODE]],
        PRICING[Set],
        4
    )
)</f>
        <v>0</v>
      </c>
      <c r="N18" s="2">
        <f>INDEX(Estimates!H:H,MATCH(Rebate_Lookup[[#This Row],[SKU CODE]],Estimates!A:A,0))</f>
        <v>0</v>
      </c>
      <c r="O18"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18" s="2">
        <f>COUNTIF(Estimates!A:A,Rebate_Lookup[[#This Row],[SKU CODE]])</f>
        <v>1</v>
      </c>
      <c r="Q18" s="3" t="b">
        <f>IFERROR(Rebate_Lookup[[#This Row],[Order Form Quantity]]&gt;=Rebate_Lookup[[#This Row],[MOQ_2]],0)</f>
        <v>1</v>
      </c>
    </row>
    <row r="19" spans="1:17" x14ac:dyDescent="0.2">
      <c r="A19" s="186" t="s">
        <v>72</v>
      </c>
      <c r="B19" s="2" t="str">
        <f>INDEX(PRICING[Agency/TT],MATCH(Rebate_Lookup[[#This Row],[SKU CODE]],PRICING[SKU],0))</f>
        <v>TT</v>
      </c>
      <c r="C19" s="2" t="str">
        <f>INDEX(PRICING[Product],MATCH(Rebate_Lookup[[#This Row],[SKU CODE]],PRICING[SKU],0))</f>
        <v>Dylox® 6.2 G</v>
      </c>
      <c r="D19" s="2" t="str">
        <f>INDEX(PRICING[Size],MATCH(Rebate_Lookup[[#This Row],[SKU CODE]],PRICING[SKU],0))</f>
        <v>30 lb</v>
      </c>
      <c r="E19" s="2" cm="1">
        <f t="array" ref="E19">SUM(COUNTIFS(
    PRICING[Program],{"EOP/ORN","ORN","EOP","NOW","LL/NOW","LL/SLP/NOW","LL/SLP/EOP"},
    PRICING[SKU],A19
))</f>
        <v>1</v>
      </c>
      <c r="F19" s="2" cm="1">
        <f t="array" ref="F19">IFERROR(
MIN(
_xlfn._xlws.FILTER(
--_xlfn.TEXTBEFORE(
SUBSTITUTE(
SUBSTITUTE(PRICING[Min Qty],"+"," "),
"-"," "
),
" "
),
(PRICING[SKU]=$A19)*
(PRICING[Set]=1)*
(PRICING[Rebate $]&lt;&gt;0)*
(PRICING[Rebate $]&lt;&gt;"")
)
),
0
)</f>
        <v>0</v>
      </c>
      <c r="G19" s="2" cm="1">
        <f t="array" ref="G19">IFERROR(
MIN(
_xlfn._xlws.FILTER(
--_xlfn.TEXTBEFORE(
SUBSTITUTE(
SUBSTITUTE(PRICING[Min Qty],"+"," "),
"-"," "
),
" "
),
(PRICING[SKU]=$A19)*
(PRICING[Set]=2)*
(PRICING[Rebate $]&lt;&gt;0)*
(PRICING[Rebate $]&lt;&gt;"")
)
),
0
)</f>
        <v>0</v>
      </c>
      <c r="H19" s="2" cm="1">
        <f t="array" ref="H19">IFERROR(
MIN(
_xlfn._xlws.FILTER(
--_xlfn.TEXTBEFORE(
SUBSTITUTE(
SUBSTITUTE(PRICING[Min Qty],"+"," "),
"-"," "
),
" "
),
(PRICING[SKU]=$A19)*
(PRICING[Set]=3)*
(PRICING[Rebate $]&lt;&gt;0)*
(PRICING[Rebate $]&lt;&gt;"")
)
),
0
)</f>
        <v>0</v>
      </c>
      <c r="I19" s="2" cm="1">
        <f t="array" ref="I19">IFERROR(
MIN(
_xlfn._xlws.FILTER(
--_xlfn.TEXTBEFORE(
SUBSTITUTE(
SUBSTITUTE(PRICING[Min Qty],"+"," "),
"-"," "
),
" "
),
(PRICING[SKU]=$A19)*
(PRICING[Set]=4)*
(PRICING[Rebate $]&lt;&gt;0)*
(PRICING[Rebate $]&lt;&gt;"")
)
),
0
)</f>
        <v>0</v>
      </c>
      <c r="J19" s="2" cm="1">
        <f t="array" ref="J19">SUM(
    SUMIFS(
        PRICING[Rebate $],
        PRICING[Program],
        {"EOP/ORN","ORN","EOP","NOW","LL/NOW","LL/SLP/NOW","LL/SLP/EOP"},
        PRICING[SKU],
        Rebate_Lookup[[#This Row],[SKU CODE]],
        PRICING[Set],
        1
    )
)</f>
        <v>0</v>
      </c>
      <c r="K19" s="2" cm="1">
        <f t="array" ref="K19">SUM(
    SUMIFS(
        PRICING[Rebate $],
        PRICING[Program],
        {"EOP/ORN","ORN","EOP","NOW","LL/NOW","LL/SLP/NOW","LL/SLP/EOP"},
        PRICING[SKU],
        Rebate_Lookup[[#This Row],[SKU CODE]],
        PRICING[Set],
        2
    )
)</f>
        <v>0</v>
      </c>
      <c r="L19" s="2" cm="1">
        <f t="array" ref="L19">SUM(
    SUMIFS(
        PRICING[Rebate $],
        PRICING[Program],
        {"EOP/ORN","ORN","EOP","NOW","LL/NOW","LL/SLP/NOW","LL/SLP/EOP"},
        PRICING[SKU],
        Rebate_Lookup[[#This Row],[SKU CODE]],
        PRICING[Set],
        3
    )
)</f>
        <v>0</v>
      </c>
      <c r="M19" s="2" cm="1">
        <f t="array" ref="M19">SUM(
    SUMIFS(
        PRICING[Rebate $],
        PRICING[Program],
        {"EOP/ORN","ORN","EOP","NOW","LL/NOW","LL/SLP/NOW","LL/SLP/EOP"},
        PRICING[SKU],
        Rebate_Lookup[[#This Row],[SKU CODE]],
        PRICING[Set],
        4
    )
)</f>
        <v>0</v>
      </c>
      <c r="N19" s="2">
        <f>INDEX(Estimates!H:H,MATCH(Rebate_Lookup[[#This Row],[SKU CODE]],Estimates!A:A,0))</f>
        <v>0</v>
      </c>
      <c r="O19"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19" s="2">
        <f>COUNTIF(Estimates!A:A,Rebate_Lookup[[#This Row],[SKU CODE]])</f>
        <v>1</v>
      </c>
      <c r="Q19" s="3" t="b">
        <f>IFERROR(Rebate_Lookup[[#This Row],[Order Form Quantity]]&gt;=Rebate_Lookup[[#This Row],[MOQ_2]],0)</f>
        <v>1</v>
      </c>
    </row>
    <row r="20" spans="1:17" x14ac:dyDescent="0.2">
      <c r="A20" s="186">
        <v>11008464</v>
      </c>
      <c r="B20" s="2" t="str">
        <f>INDEX(PRICING[Agency/TT],MATCH(Rebate_Lookup[[#This Row],[SKU CODE]],PRICING[SKU],0))</f>
        <v>A</v>
      </c>
      <c r="C20" s="2" t="str">
        <f>INDEX(PRICING[Product],MATCH(Rebate_Lookup[[#This Row],[SKU CODE]],PRICING[SKU],0))</f>
        <v>Echelon® 4SC Herbicide</v>
      </c>
      <c r="D20" s="2" t="str">
        <f>INDEX(PRICING[Size],MATCH(Rebate_Lookup[[#This Row],[SKU CODE]],PRICING[SKU],0))</f>
        <v>1 gal</v>
      </c>
      <c r="E20" s="2" cm="1">
        <f t="array" ref="E20">SUM(COUNTIFS(
    PRICING[Program],{"EOP/ORN","ORN","EOP","NOW","LL/NOW","LL/SLP/NOW","LL/SLP/EOP"},
    PRICING[SKU],A20
))</f>
        <v>2</v>
      </c>
      <c r="F20" s="2" cm="1">
        <f t="array" ref="F20">IFERROR(
MIN(
_xlfn._xlws.FILTER(
--_xlfn.TEXTBEFORE(
SUBSTITUTE(
SUBSTITUTE(PRICING[Min Qty],"+"," "),
"-"," "
),
" "
),
(PRICING[SKU]=$A20)*
(PRICING[Set]=1)*
(PRICING[Rebate $]&lt;&gt;0)*
(PRICING[Rebate $]&lt;&gt;"")
)
),
0
)</f>
        <v>0</v>
      </c>
      <c r="G20" s="2" cm="1">
        <f t="array" ref="G20">IFERROR(
MIN(
_xlfn._xlws.FILTER(
--_xlfn.TEXTBEFORE(
SUBSTITUTE(
SUBSTITUTE(PRICING[Min Qty],"+"," "),
"-"," "
),
" "
),
(PRICING[SKU]=$A20)*
(PRICING[Set]=2)*
(PRICING[Rebate $]&lt;&gt;0)*
(PRICING[Rebate $]&lt;&gt;"")
)
),
0
)</f>
        <v>8</v>
      </c>
      <c r="H20" s="2" cm="1">
        <f t="array" ref="H20">IFERROR(
MIN(
_xlfn._xlws.FILTER(
--_xlfn.TEXTBEFORE(
SUBSTITUTE(
SUBSTITUTE(PRICING[Min Qty],"+"," "),
"-"," "
),
" "
),
(PRICING[SKU]=$A20)*
(PRICING[Set]=3)*
(PRICING[Rebate $]&lt;&gt;0)*
(PRICING[Rebate $]&lt;&gt;"")
)
),
0
)</f>
        <v>0</v>
      </c>
      <c r="I20" s="2" cm="1">
        <f t="array" ref="I20">IFERROR(
MIN(
_xlfn._xlws.FILTER(
--_xlfn.TEXTBEFORE(
SUBSTITUTE(
SUBSTITUTE(PRICING[Min Qty],"+"," "),
"-"," "
),
" "
),
(PRICING[SKU]=$A20)*
(PRICING[Set]=4)*
(PRICING[Rebate $]&lt;&gt;0)*
(PRICING[Rebate $]&lt;&gt;"")
)
),
0
)</f>
        <v>0</v>
      </c>
      <c r="J20" s="2" cm="1">
        <f t="array" ref="J20">SUM(
    SUMIFS(
        PRICING[Rebate $],
        PRICING[Program],
        {"EOP/ORN","ORN","EOP","NOW","LL/NOW","LL/SLP/NOW","LL/SLP/EOP"},
        PRICING[SKU],
        Rebate_Lookup[[#This Row],[SKU CODE]],
        PRICING[Set],
        1
    )
)</f>
        <v>0</v>
      </c>
      <c r="K20" s="2" cm="1">
        <f t="array" ref="K20">SUM(
    SUMIFS(
        PRICING[Rebate $],
        PRICING[Program],
        {"EOP/ORN","ORN","EOP","NOW","LL/NOW","LL/SLP/NOW","LL/SLP/EOP"},
        PRICING[SKU],
        Rebate_Lookup[[#This Row],[SKU CODE]],
        PRICING[Set],
        2
    )
)</f>
        <v>47</v>
      </c>
      <c r="L20" s="2" cm="1">
        <f t="array" ref="L20">SUM(
    SUMIFS(
        PRICING[Rebate $],
        PRICING[Program],
        {"EOP/ORN","ORN","EOP","NOW","LL/NOW","LL/SLP/NOW","LL/SLP/EOP"},
        PRICING[SKU],
        Rebate_Lookup[[#This Row],[SKU CODE]],
        PRICING[Set],
        3
    )
)</f>
        <v>0</v>
      </c>
      <c r="M20" s="2" cm="1">
        <f t="array" ref="M20">SUM(
    SUMIFS(
        PRICING[Rebate $],
        PRICING[Program],
        {"EOP/ORN","ORN","EOP","NOW","LL/NOW","LL/SLP/NOW","LL/SLP/EOP"},
        PRICING[SKU],
        Rebate_Lookup[[#This Row],[SKU CODE]],
        PRICING[Set],
        4
    )
)</f>
        <v>0</v>
      </c>
      <c r="N20" s="2">
        <f>INDEX(Estimates!H:H,MATCH(Rebate_Lookup[[#This Row],[SKU CODE]],Estimates!A:A,0))</f>
        <v>0</v>
      </c>
      <c r="O20"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20" s="2">
        <f>COUNTIF(Estimates!A:A,Rebate_Lookup[[#This Row],[SKU CODE]])</f>
        <v>1</v>
      </c>
      <c r="Q20" s="3" t="b">
        <f>IFERROR(Rebate_Lookup[[#This Row],[Order Form Quantity]]&gt;=Rebate_Lookup[[#This Row],[MOQ_2]],0)</f>
        <v>0</v>
      </c>
    </row>
    <row r="21" spans="1:17" x14ac:dyDescent="0.2">
      <c r="A21" s="186">
        <v>11008557</v>
      </c>
      <c r="B21" s="2" t="str">
        <f>INDEX(PRICING[Agency/TT],MATCH(Rebate_Lookup[[#This Row],[SKU CODE]],PRICING[SKU],0))</f>
        <v>A</v>
      </c>
      <c r="C21" s="2" t="str">
        <f>INDEX(PRICING[Product],MATCH(Rebate_Lookup[[#This Row],[SKU CODE]],PRICING[SKU],0))</f>
        <v>Fame® SC Fungicide</v>
      </c>
      <c r="D21" s="2" t="str">
        <f>INDEX(PRICING[Size],MATCH(Rebate_Lookup[[#This Row],[SKU CODE]],PRICING[SKU],0))</f>
        <v>64 oz</v>
      </c>
      <c r="E21" s="2" cm="1">
        <f t="array" ref="E21">SUM(COUNTIFS(
    PRICING[Program],{"EOP/ORN","ORN","EOP","NOW","LL/NOW","LL/SLP/NOW","LL/SLP/EOP"},
    PRICING[SKU],A21
))</f>
        <v>2</v>
      </c>
      <c r="F21" s="2" cm="1">
        <f t="array" ref="F21">IFERROR(
MIN(
_xlfn._xlws.FILTER(
--_xlfn.TEXTBEFORE(
SUBSTITUTE(
SUBSTITUTE(PRICING[Min Qty],"+"," "),
"-"," "
),
" "
),
(PRICING[SKU]=$A21)*
(PRICING[Set]=1)*
(PRICING[Rebate $]&lt;&gt;0)*
(PRICING[Rebate $]&lt;&gt;"")
)
),
0
)</f>
        <v>0</v>
      </c>
      <c r="G21" s="2" cm="1">
        <f t="array" ref="G21">IFERROR(
MIN(
_xlfn._xlws.FILTER(
--_xlfn.TEXTBEFORE(
SUBSTITUTE(
SUBSTITUTE(PRICING[Min Qty],"+"," "),
"-"," "
),
" "
),
(PRICING[SKU]=$A21)*
(PRICING[Set]=2)*
(PRICING[Rebate $]&lt;&gt;0)*
(PRICING[Rebate $]&lt;&gt;"")
)
),
0
)</f>
        <v>4</v>
      </c>
      <c r="H21" s="2" cm="1">
        <f t="array" ref="H21">IFERROR(
MIN(
_xlfn._xlws.FILTER(
--_xlfn.TEXTBEFORE(
SUBSTITUTE(
SUBSTITUTE(PRICING[Min Qty],"+"," "),
"-"," "
),
" "
),
(PRICING[SKU]=$A21)*
(PRICING[Set]=3)*
(PRICING[Rebate $]&lt;&gt;0)*
(PRICING[Rebate $]&lt;&gt;"")
)
),
0
)</f>
        <v>0</v>
      </c>
      <c r="I21" s="2" cm="1">
        <f t="array" ref="I21">IFERROR(
MIN(
_xlfn._xlws.FILTER(
--_xlfn.TEXTBEFORE(
SUBSTITUTE(
SUBSTITUTE(PRICING[Min Qty],"+"," "),
"-"," "
),
" "
),
(PRICING[SKU]=$A21)*
(PRICING[Set]=4)*
(PRICING[Rebate $]&lt;&gt;0)*
(PRICING[Rebate $]&lt;&gt;"")
)
),
0
)</f>
        <v>0</v>
      </c>
      <c r="J21" s="2" cm="1">
        <f t="array" ref="J21">SUM(
    SUMIFS(
        PRICING[Rebate $],
        PRICING[Program],
        {"EOP/ORN","ORN","EOP","NOW","LL/NOW","LL/SLP/NOW","LL/SLP/EOP"},
        PRICING[SKU],
        Rebate_Lookup[[#This Row],[SKU CODE]],
        PRICING[Set],
        1
    )
)</f>
        <v>0</v>
      </c>
      <c r="K21" s="2" cm="1">
        <f t="array" ref="K21">SUM(
    SUMIFS(
        PRICING[Rebate $],
        PRICING[Program],
        {"EOP/ORN","ORN","EOP","NOW","LL/NOW","LL/SLP/NOW","LL/SLP/EOP"},
        PRICING[SKU],
        Rebate_Lookup[[#This Row],[SKU CODE]],
        PRICING[Set],
        2
    )
)</f>
        <v>395</v>
      </c>
      <c r="L21" s="2" cm="1">
        <f t="array" ref="L21">SUM(
    SUMIFS(
        PRICING[Rebate $],
        PRICING[Program],
        {"EOP/ORN","ORN","EOP","NOW","LL/NOW","LL/SLP/NOW","LL/SLP/EOP"},
        PRICING[SKU],
        Rebate_Lookup[[#This Row],[SKU CODE]],
        PRICING[Set],
        3
    )
)</f>
        <v>0</v>
      </c>
      <c r="M21" s="2" cm="1">
        <f t="array" ref="M21">SUM(
    SUMIFS(
        PRICING[Rebate $],
        PRICING[Program],
        {"EOP/ORN","ORN","EOP","NOW","LL/NOW","LL/SLP/NOW","LL/SLP/EOP"},
        PRICING[SKU],
        Rebate_Lookup[[#This Row],[SKU CODE]],
        PRICING[Set],
        4
    )
)</f>
        <v>0</v>
      </c>
      <c r="N21" s="2">
        <f>INDEX(Estimates!H:H,MATCH(Rebate_Lookup[[#This Row],[SKU CODE]],Estimates!A:A,0))</f>
        <v>0</v>
      </c>
      <c r="O21"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21" s="2">
        <f>COUNTIF(Estimates!A:A,Rebate_Lookup[[#This Row],[SKU CODE]])</f>
        <v>1</v>
      </c>
      <c r="Q21" s="3" t="b">
        <f>IFERROR(Rebate_Lookup[[#This Row],[Order Form Quantity]]&gt;=Rebate_Lookup[[#This Row],[MOQ_2]],0)</f>
        <v>0</v>
      </c>
    </row>
    <row r="22" spans="1:17" x14ac:dyDescent="0.2">
      <c r="A22" s="186">
        <v>11009500</v>
      </c>
      <c r="B22" s="2" t="str">
        <f>INDEX(PRICING[Agency/TT],MATCH(Rebate_Lookup[[#This Row],[SKU CODE]],PRICING[SKU],0))</f>
        <v>A</v>
      </c>
      <c r="C22" s="2" t="str">
        <f>INDEX(PRICING[Product],MATCH(Rebate_Lookup[[#This Row],[SKU CODE]],PRICING[SKU],0))</f>
        <v>Fame® SC Fungicide</v>
      </c>
      <c r="D22" s="2" t="str">
        <f>INDEX(PRICING[Size],MATCH(Rebate_Lookup[[#This Row],[SKU CODE]],PRICING[SKU],0))</f>
        <v>2.5 gal</v>
      </c>
      <c r="E22" s="2" cm="1">
        <f t="array" ref="E22">SUM(COUNTIFS(
    PRICING[Program],{"EOP/ORN","ORN","EOP","NOW","LL/NOW","LL/SLP/NOW","LL/SLP/EOP"},
    PRICING[SKU],A22
))</f>
        <v>2</v>
      </c>
      <c r="F22" s="2" cm="1">
        <f t="array" ref="F22">IFERROR(
MIN(
_xlfn._xlws.FILTER(
--_xlfn.TEXTBEFORE(
SUBSTITUTE(
SUBSTITUTE(PRICING[Min Qty],"+"," "),
"-"," "
),
" "
),
(PRICING[SKU]=$A22)*
(PRICING[Set]=1)*
(PRICING[Rebate $]&lt;&gt;0)*
(PRICING[Rebate $]&lt;&gt;"")
)
),
0
)</f>
        <v>1</v>
      </c>
      <c r="G22" s="2" cm="1">
        <f t="array" ref="G22">IFERROR(
MIN(
_xlfn._xlws.FILTER(
--_xlfn.TEXTBEFORE(
SUBSTITUTE(
SUBSTITUTE(PRICING[Min Qty],"+"," "),
"-"," "
),
" "
),
(PRICING[SKU]=$A22)*
(PRICING[Set]=2)*
(PRICING[Rebate $]&lt;&gt;0)*
(PRICING[Rebate $]&lt;&gt;"")
)
),
0
)</f>
        <v>4</v>
      </c>
      <c r="H22" s="2" cm="1">
        <f t="array" ref="H22">IFERROR(
MIN(
_xlfn._xlws.FILTER(
--_xlfn.TEXTBEFORE(
SUBSTITUTE(
SUBSTITUTE(PRICING[Min Qty],"+"," "),
"-"," "
),
" "
),
(PRICING[SKU]=$A22)*
(PRICING[Set]=3)*
(PRICING[Rebate $]&lt;&gt;0)*
(PRICING[Rebate $]&lt;&gt;"")
)
),
0
)</f>
        <v>0</v>
      </c>
      <c r="I22" s="2" cm="1">
        <f t="array" ref="I22">IFERROR(
MIN(
_xlfn._xlws.FILTER(
--_xlfn.TEXTBEFORE(
SUBSTITUTE(
SUBSTITUTE(PRICING[Min Qty],"+"," "),
"-"," "
),
" "
),
(PRICING[SKU]=$A22)*
(PRICING[Set]=4)*
(PRICING[Rebate $]&lt;&gt;0)*
(PRICING[Rebate $]&lt;&gt;"")
)
),
0
)</f>
        <v>0</v>
      </c>
      <c r="J22" s="2" cm="1">
        <f t="array" ref="J22">SUM(
    SUMIFS(
        PRICING[Rebate $],
        PRICING[Program],
        {"EOP/ORN","ORN","EOP","NOW","LL/NOW","LL/SLP/NOW","LL/SLP/EOP"},
        PRICING[SKU],
        Rebate_Lookup[[#This Row],[SKU CODE]],
        PRICING[Set],
        1
    )
)</f>
        <v>1290</v>
      </c>
      <c r="K22" s="2" cm="1">
        <f t="array" ref="K22">SUM(
    SUMIFS(
        PRICING[Rebate $],
        PRICING[Program],
        {"EOP/ORN","ORN","EOP","NOW","LL/NOW","LL/SLP/NOW","LL/SLP/EOP"},
        PRICING[SKU],
        Rebate_Lookup[[#This Row],[SKU CODE]],
        PRICING[Set],
        2
    )
)</f>
        <v>1390</v>
      </c>
      <c r="L22" s="2" cm="1">
        <f t="array" ref="L22">SUM(
    SUMIFS(
        PRICING[Rebate $],
        PRICING[Program],
        {"EOP/ORN","ORN","EOP","NOW","LL/NOW","LL/SLP/NOW","LL/SLP/EOP"},
        PRICING[SKU],
        Rebate_Lookup[[#This Row],[SKU CODE]],
        PRICING[Set],
        3
    )
)</f>
        <v>0</v>
      </c>
      <c r="M22" s="2" cm="1">
        <f t="array" ref="M22">SUM(
    SUMIFS(
        PRICING[Rebate $],
        PRICING[Program],
        {"EOP/ORN","ORN","EOP","NOW","LL/NOW","LL/SLP/NOW","LL/SLP/EOP"},
        PRICING[SKU],
        Rebate_Lookup[[#This Row],[SKU CODE]],
        PRICING[Set],
        4
    )
)</f>
        <v>0</v>
      </c>
      <c r="N22" s="2">
        <f>INDEX(Estimates!H:H,MATCH(Rebate_Lookup[[#This Row],[SKU CODE]],Estimates!A:A,0))</f>
        <v>0</v>
      </c>
      <c r="O22" s="2"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22" s="2">
        <f>COUNTIF(Estimates!A:A,Rebate_Lookup[[#This Row],[SKU CODE]])</f>
        <v>1</v>
      </c>
      <c r="Q22" s="3" t="b">
        <f>IFERROR(Rebate_Lookup[[#This Row],[Order Form Quantity]]&gt;=Rebate_Lookup[[#This Row],[MOQ_2]],0)</f>
        <v>0</v>
      </c>
    </row>
    <row r="23" spans="1:17" hidden="1" x14ac:dyDescent="0.2">
      <c r="A23" s="186">
        <v>11009501</v>
      </c>
      <c r="B23" s="2" t="e">
        <f>INDEX(PRICING[Agency/TT],MATCH(Rebate_Lookup[[#This Row],[SKU CODE]],PRICING[SKU],0))</f>
        <v>#N/A</v>
      </c>
      <c r="C23" s="2" t="e">
        <f>INDEX(PRICING[Product],MATCH(Rebate_Lookup[[#This Row],[SKU CODE]],PRICING[SKU],0))</f>
        <v>#N/A</v>
      </c>
      <c r="D23" s="2" t="e">
        <f>INDEX(PRICING[Size],MATCH(Rebate_Lookup[[#This Row],[SKU CODE]],PRICING[SKU],0))</f>
        <v>#N/A</v>
      </c>
      <c r="E23" s="2" cm="1">
        <f t="array" ref="E23">SUM(COUNTIFS(
    PRICING[Program],{"EOP/ORN","ORN","EOP","NOW","LL/NOW","LL/SLP/NOW","LL/SLP/EOP"},
    PRICING[SKU],A23
))</f>
        <v>0</v>
      </c>
      <c r="F23" s="2" cm="1">
        <f t="array" ref="F23">IFERROR(
MIN(
_xlfn._xlws.FILTER(
--_xlfn.TEXTBEFORE(
SUBSTITUTE(
SUBSTITUTE(PRICING[Min Qty],"+"," "),
"-"," "
),
" "
),
(PRICING[SKU]=$A23)*
(PRICING[Set]=1)*
(PRICING[Rebate $]&lt;&gt;0)*
(PRICING[Rebate $]&lt;&gt;"")
)
),
0
)</f>
        <v>0</v>
      </c>
      <c r="G23" s="2" cm="1">
        <f t="array" ref="G23">IFERROR(
MIN(
_xlfn._xlws.FILTER(
--_xlfn.TEXTBEFORE(
SUBSTITUTE(
SUBSTITUTE(PRICING[Min Qty],"+"," "),
"-"," "
),
" "
),
(PRICING[SKU]=$A23)*
(PRICING[Set]=2)*
(PRICING[Rebate $]&lt;&gt;0)*
(PRICING[Rebate $]&lt;&gt;"")
)
),
0
)</f>
        <v>0</v>
      </c>
      <c r="H23" s="2" cm="1">
        <f t="array" ref="H23">IFERROR(
MIN(
_xlfn._xlws.FILTER(
--_xlfn.TEXTBEFORE(
SUBSTITUTE(
SUBSTITUTE(PRICING[Min Qty],"+"," "),
"-"," "
),
" "
),
(PRICING[SKU]=$A23)*
(PRICING[Set]=3)*
(PRICING[Rebate $]&lt;&gt;0)*
(PRICING[Rebate $]&lt;&gt;"")
)
),
0
)</f>
        <v>0</v>
      </c>
      <c r="I23" s="2" cm="1">
        <f t="array" ref="I23">IFERROR(
MIN(
_xlfn._xlws.FILTER(
--_xlfn.TEXTBEFORE(
SUBSTITUTE(
SUBSTITUTE(PRICING[Min Qty],"+"," "),
"-"," "
),
" "
),
(PRICING[SKU]=$A23)*
(PRICING[Set]=4)*
(PRICING[Rebate $]&lt;&gt;0)*
(PRICING[Rebate $]&lt;&gt;"")
)
),
0
)</f>
        <v>0</v>
      </c>
      <c r="J23" s="2" cm="1">
        <f t="array" ref="J23">SUM(
    SUMIFS(
        PRICING[Rebate $],
        PRICING[Program],
        {"EOP/ORN","ORN","EOP","NOW","LL/NOW","LL/SLP/NOW","LL/SLP/EOP"},
        PRICING[SKU],
        Rebate_Lookup[[#This Row],[SKU CODE]],
        PRICING[Set],
        1
    )
)</f>
        <v>0</v>
      </c>
      <c r="K23" s="2" cm="1">
        <f t="array" ref="K23">SUM(
    SUMIFS(
        PRICING[Rebate $],
        PRICING[Program],
        {"EOP/ORN","ORN","EOP","NOW","LL/NOW","LL/SLP/NOW","LL/SLP/EOP"},
        PRICING[SKU],
        Rebate_Lookup[[#This Row],[SKU CODE]],
        PRICING[Set],
        2
    )
)</f>
        <v>0</v>
      </c>
      <c r="L23" s="2" cm="1">
        <f t="array" ref="L23">SUM(
    SUMIFS(
        PRICING[Rebate $],
        PRICING[Program],
        {"EOP/ORN","ORN","EOP","NOW","LL/NOW","LL/SLP/NOW","LL/SLP/EOP"},
        PRICING[SKU],
        Rebate_Lookup[[#This Row],[SKU CODE]],
        PRICING[Set],
        3
    )
)</f>
        <v>0</v>
      </c>
      <c r="M23" s="2" cm="1">
        <f t="array" ref="M23">SUM(
    SUMIFS(
        PRICING[Rebate $],
        PRICING[Program],
        {"EOP/ORN","ORN","EOP","NOW","LL/NOW","LL/SLP/NOW","LL/SLP/EOP"},
        PRICING[SKU],
        Rebate_Lookup[[#This Row],[SKU CODE]],
        PRICING[Set],
        4
    )
)</f>
        <v>0</v>
      </c>
      <c r="N23" s="2" t="e">
        <f>INDEX(Estimates!H:H,MATCH(Rebate_Lookup[[#This Row],[SKU CODE]],Estimates!A:A,0))</f>
        <v>#N/A</v>
      </c>
      <c r="O23" s="2"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23" s="2">
        <f>COUNTIF(Estimates!A:A,Rebate_Lookup[[#This Row],[SKU CODE]])</f>
        <v>0</v>
      </c>
      <c r="Q23" s="3">
        <f>IFERROR(Rebate_Lookup[[#This Row],[Order Form Quantity]]&gt;=Rebate_Lookup[[#This Row],[MOQ_2]],0)</f>
        <v>0</v>
      </c>
    </row>
    <row r="24" spans="1:17" x14ac:dyDescent="0.2">
      <c r="A24" s="186" t="s">
        <v>73</v>
      </c>
      <c r="B24" s="2" t="str">
        <f>INDEX(PRICING[Agency/TT],MATCH(Rebate_Lookup[[#This Row],[SKU CODE]],PRICING[SKU],0))</f>
        <v>TT</v>
      </c>
      <c r="C24" s="2" t="str">
        <f>INDEX(PRICING[Product],MATCH(Rebate_Lookup[[#This Row],[SKU CODE]],PRICING[SKU],0))</f>
        <v>Merit® 2F®</v>
      </c>
      <c r="D24" s="2" t="str">
        <f>INDEX(PRICING[Size],MATCH(Rebate_Lookup[[#This Row],[SKU CODE]],PRICING[SKU],0))</f>
        <v>1 gal</v>
      </c>
      <c r="E24" s="2" cm="1">
        <f t="array" ref="E24">SUM(COUNTIFS(
    PRICING[Program],{"EOP/ORN","ORN","EOP","NOW","LL/NOW","LL/SLP/NOW","LL/SLP/EOP"},
    PRICING[SKU],A24
))</f>
        <v>1</v>
      </c>
      <c r="F24" s="2" cm="1">
        <f t="array" ref="F24">IFERROR(
MIN(
_xlfn._xlws.FILTER(
--_xlfn.TEXTBEFORE(
SUBSTITUTE(
SUBSTITUTE(PRICING[Min Qty],"+"," "),
"-"," "
),
" "
),
(PRICING[SKU]=$A24)*
(PRICING[Set]=1)*
(PRICING[Rebate $]&lt;&gt;0)*
(PRICING[Rebate $]&lt;&gt;"")
)
),
0
)</f>
        <v>0</v>
      </c>
      <c r="G24" s="2" cm="1">
        <f t="array" ref="G24">IFERROR(
MIN(
_xlfn._xlws.FILTER(
--_xlfn.TEXTBEFORE(
SUBSTITUTE(
SUBSTITUTE(PRICING[Min Qty],"+"," "),
"-"," "
),
" "
),
(PRICING[SKU]=$A24)*
(PRICING[Set]=2)*
(PRICING[Rebate $]&lt;&gt;0)*
(PRICING[Rebate $]&lt;&gt;"")
)
),
0
)</f>
        <v>0</v>
      </c>
      <c r="H24" s="2" cm="1">
        <f t="array" ref="H24">IFERROR(
MIN(
_xlfn._xlws.FILTER(
--_xlfn.TEXTBEFORE(
SUBSTITUTE(
SUBSTITUTE(PRICING[Min Qty],"+"," "),
"-"," "
),
" "
),
(PRICING[SKU]=$A24)*
(PRICING[Set]=3)*
(PRICING[Rebate $]&lt;&gt;0)*
(PRICING[Rebate $]&lt;&gt;"")
)
),
0
)</f>
        <v>0</v>
      </c>
      <c r="I24" s="2" cm="1">
        <f t="array" ref="I24">IFERROR(
MIN(
_xlfn._xlws.FILTER(
--_xlfn.TEXTBEFORE(
SUBSTITUTE(
SUBSTITUTE(PRICING[Min Qty],"+"," "),
"-"," "
),
" "
),
(PRICING[SKU]=$A24)*
(PRICING[Set]=4)*
(PRICING[Rebate $]&lt;&gt;0)*
(PRICING[Rebate $]&lt;&gt;"")
)
),
0
)</f>
        <v>0</v>
      </c>
      <c r="J24" s="2" cm="1">
        <f t="array" ref="J24">SUM(
    SUMIFS(
        PRICING[Rebate $],
        PRICING[Program],
        {"EOP/ORN","ORN","EOP","NOW","LL/NOW","LL/SLP/NOW","LL/SLP/EOP"},
        PRICING[SKU],
        Rebate_Lookup[[#This Row],[SKU CODE]],
        PRICING[Set],
        1
    )
)</f>
        <v>1</v>
      </c>
      <c r="K24" s="2" cm="1">
        <f t="array" ref="K24">SUM(
    SUMIFS(
        PRICING[Rebate $],
        PRICING[Program],
        {"EOP/ORN","ORN","EOP","NOW","LL/NOW","LL/SLP/NOW","LL/SLP/EOP"},
        PRICING[SKU],
        Rebate_Lookup[[#This Row],[SKU CODE]],
        PRICING[Set],
        2
    )
)</f>
        <v>0</v>
      </c>
      <c r="L24" s="2" cm="1">
        <f t="array" ref="L24">SUM(
    SUMIFS(
        PRICING[Rebate $],
        PRICING[Program],
        {"EOP/ORN","ORN","EOP","NOW","LL/NOW","LL/SLP/NOW","LL/SLP/EOP"},
        PRICING[SKU],
        Rebate_Lookup[[#This Row],[SKU CODE]],
        PRICING[Set],
        3
    )
)</f>
        <v>0</v>
      </c>
      <c r="M24" s="2" cm="1">
        <f t="array" ref="M24">SUM(
    SUMIFS(
        PRICING[Rebate $],
        PRICING[Program],
        {"EOP/ORN","ORN","EOP","NOW","LL/NOW","LL/SLP/NOW","LL/SLP/EOP"},
        PRICING[SKU],
        Rebate_Lookup[[#This Row],[SKU CODE]],
        PRICING[Set],
        4
    )
)</f>
        <v>0</v>
      </c>
      <c r="N24" s="2">
        <f>INDEX(Estimates!H:H,MATCH(Rebate_Lookup[[#This Row],[SKU CODE]],Estimates!A:A,0))</f>
        <v>0</v>
      </c>
      <c r="O24"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24" s="2">
        <f>COUNTIF(Estimates!A:A,Rebate_Lookup[[#This Row],[SKU CODE]])</f>
        <v>1</v>
      </c>
      <c r="Q24" s="3" t="b">
        <f>IFERROR(Rebate_Lookup[[#This Row],[Order Form Quantity]]&gt;=Rebate_Lookup[[#This Row],[MOQ_2]],0)</f>
        <v>1</v>
      </c>
    </row>
    <row r="25" spans="1:17" x14ac:dyDescent="0.2">
      <c r="A25" s="186" t="s">
        <v>74</v>
      </c>
      <c r="B25" s="2" t="str">
        <f>INDEX(PRICING[Agency/TT],MATCH(Rebate_Lookup[[#This Row],[SKU CODE]],PRICING[SKU],0))</f>
        <v>TT</v>
      </c>
      <c r="C25" s="2" t="str">
        <f>INDEX(PRICING[Product],MATCH(Rebate_Lookup[[#This Row],[SKU CODE]],PRICING[SKU],0))</f>
        <v>Merit WP 75</v>
      </c>
      <c r="D25" s="2" t="str">
        <f>INDEX(PRICING[Size],MATCH(Rebate_Lookup[[#This Row],[SKU CODE]],PRICING[SKU],0))</f>
        <v>1.6 oz</v>
      </c>
      <c r="E25" s="2" cm="1">
        <f t="array" ref="E25">SUM(COUNTIFS(
    PRICING[Program],{"EOP/ORN","ORN","EOP","NOW","LL/NOW","LL/SLP/NOW","LL/SLP/EOP"},
    PRICING[SKU],A25
))</f>
        <v>1</v>
      </c>
      <c r="F25" s="2" cm="1">
        <f t="array" ref="F25">IFERROR(
MIN(
_xlfn._xlws.FILTER(
--_xlfn.TEXTBEFORE(
SUBSTITUTE(
SUBSTITUTE(PRICING[Min Qty],"+"," "),
"-"," "
),
" "
),
(PRICING[SKU]=$A25)*
(PRICING[Set]=1)*
(PRICING[Rebate $]&lt;&gt;0)*
(PRICING[Rebate $]&lt;&gt;"")
)
),
0
)</f>
        <v>0</v>
      </c>
      <c r="G25" s="2" cm="1">
        <f t="array" ref="G25">IFERROR(
MIN(
_xlfn._xlws.FILTER(
--_xlfn.TEXTBEFORE(
SUBSTITUTE(
SUBSTITUTE(PRICING[Min Qty],"+"," "),
"-"," "
),
" "
),
(PRICING[SKU]=$A25)*
(PRICING[Set]=2)*
(PRICING[Rebate $]&lt;&gt;0)*
(PRICING[Rebate $]&lt;&gt;"")
)
),
0
)</f>
        <v>0</v>
      </c>
      <c r="H25" s="2" cm="1">
        <f t="array" ref="H25">IFERROR(
MIN(
_xlfn._xlws.FILTER(
--_xlfn.TEXTBEFORE(
SUBSTITUTE(
SUBSTITUTE(PRICING[Min Qty],"+"," "),
"-"," "
),
" "
),
(PRICING[SKU]=$A25)*
(PRICING[Set]=3)*
(PRICING[Rebate $]&lt;&gt;0)*
(PRICING[Rebate $]&lt;&gt;"")
)
),
0
)</f>
        <v>0</v>
      </c>
      <c r="I25" s="2" cm="1">
        <f t="array" ref="I25">IFERROR(
MIN(
_xlfn._xlws.FILTER(
--_xlfn.TEXTBEFORE(
SUBSTITUTE(
SUBSTITUTE(PRICING[Min Qty],"+"," "),
"-"," "
),
" "
),
(PRICING[SKU]=$A25)*
(PRICING[Set]=4)*
(PRICING[Rebate $]&lt;&gt;0)*
(PRICING[Rebate $]&lt;&gt;"")
)
),
0
)</f>
        <v>0</v>
      </c>
      <c r="J25" s="2" cm="1">
        <f t="array" ref="J25">SUM(
    SUMIFS(
        PRICING[Rebate $],
        PRICING[Program],
        {"EOP/ORN","ORN","EOP","NOW","LL/NOW","LL/SLP/NOW","LL/SLP/EOP"},
        PRICING[SKU],
        Rebate_Lookup[[#This Row],[SKU CODE]],
        PRICING[Set],
        1
    )
)</f>
        <v>0</v>
      </c>
      <c r="K25" s="2" cm="1">
        <f t="array" ref="K25">SUM(
    SUMIFS(
        PRICING[Rebate $],
        PRICING[Program],
        {"EOP/ORN","ORN","EOP","NOW","LL/NOW","LL/SLP/NOW","LL/SLP/EOP"},
        PRICING[SKU],
        Rebate_Lookup[[#This Row],[SKU CODE]],
        PRICING[Set],
        2
    )
)</f>
        <v>0</v>
      </c>
      <c r="L25" s="2" cm="1">
        <f t="array" ref="L25">SUM(
    SUMIFS(
        PRICING[Rebate $],
        PRICING[Program],
        {"EOP/ORN","ORN","EOP","NOW","LL/NOW","LL/SLP/NOW","LL/SLP/EOP"},
        PRICING[SKU],
        Rebate_Lookup[[#This Row],[SKU CODE]],
        PRICING[Set],
        3
    )
)</f>
        <v>0</v>
      </c>
      <c r="M25" s="2" cm="1">
        <f t="array" ref="M25">SUM(
    SUMIFS(
        PRICING[Rebate $],
        PRICING[Program],
        {"EOP/ORN","ORN","EOP","NOW","LL/NOW","LL/SLP/NOW","LL/SLP/EOP"},
        PRICING[SKU],
        Rebate_Lookup[[#This Row],[SKU CODE]],
        PRICING[Set],
        4
    )
)</f>
        <v>0</v>
      </c>
      <c r="N25" s="2">
        <f>INDEX(Estimates!H:H,MATCH(Rebate_Lookup[[#This Row],[SKU CODE]],Estimates!A:A,0))</f>
        <v>0</v>
      </c>
      <c r="O25"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25" s="2">
        <f>COUNTIF(Estimates!A:A,Rebate_Lookup[[#This Row],[SKU CODE]])</f>
        <v>1</v>
      </c>
      <c r="Q25" s="3" t="b">
        <f>IFERROR(Rebate_Lookup[[#This Row],[Order Form Quantity]]&gt;=Rebate_Lookup[[#This Row],[MOQ_2]],0)</f>
        <v>1</v>
      </c>
    </row>
    <row r="26" spans="1:17" x14ac:dyDescent="0.2">
      <c r="A26" s="186">
        <v>11008447</v>
      </c>
      <c r="B26" s="2" t="str">
        <f>INDEX(PRICING[Agency/TT],MATCH(Rebate_Lookup[[#This Row],[SKU CODE]],PRICING[SKU],0))</f>
        <v>TT</v>
      </c>
      <c r="C26" s="2" t="str">
        <f>INDEX(PRICING[Product],MATCH(Rebate_Lookup[[#This Row],[SKU CODE]],PRICING[SKU],0))</f>
        <v xml:space="preserve">QuickSilver® Herbicide </v>
      </c>
      <c r="D26" s="2" t="str">
        <f>INDEX(PRICING[Size],MATCH(Rebate_Lookup[[#This Row],[SKU CODE]],PRICING[SKU],0))</f>
        <v>8 oz</v>
      </c>
      <c r="E26" s="2" cm="1">
        <f t="array" ref="E26">SUM(COUNTIFS(
    PRICING[Program],{"EOP/ORN","ORN","EOP","NOW","LL/NOW","LL/SLP/NOW","LL/SLP/EOP"},
    PRICING[SKU],A26
))</f>
        <v>1</v>
      </c>
      <c r="F26" s="2" cm="1">
        <f t="array" ref="F26">IFERROR(
MIN(
_xlfn._xlws.FILTER(
--_xlfn.TEXTBEFORE(
SUBSTITUTE(
SUBSTITUTE(PRICING[Min Qty],"+"," "),
"-"," "
),
" "
),
(PRICING[SKU]=$A26)*
(PRICING[Set]=1)*
(PRICING[Rebate $]&lt;&gt;0)*
(PRICING[Rebate $]&lt;&gt;"")
)
),
0
)</f>
        <v>0</v>
      </c>
      <c r="G26" s="2" cm="1">
        <f t="array" ref="G26">IFERROR(
MIN(
_xlfn._xlws.FILTER(
--_xlfn.TEXTBEFORE(
SUBSTITUTE(
SUBSTITUTE(PRICING[Min Qty],"+"," "),
"-"," "
),
" "
),
(PRICING[SKU]=$A26)*
(PRICING[Set]=2)*
(PRICING[Rebate $]&lt;&gt;0)*
(PRICING[Rebate $]&lt;&gt;"")
)
),
0
)</f>
        <v>0</v>
      </c>
      <c r="H26" s="2" cm="1">
        <f t="array" ref="H26">IFERROR(
MIN(
_xlfn._xlws.FILTER(
--_xlfn.TEXTBEFORE(
SUBSTITUTE(
SUBSTITUTE(PRICING[Min Qty],"+"," "),
"-"," "
),
" "
),
(PRICING[SKU]=$A26)*
(PRICING[Set]=3)*
(PRICING[Rebate $]&lt;&gt;0)*
(PRICING[Rebate $]&lt;&gt;"")
)
),
0
)</f>
        <v>0</v>
      </c>
      <c r="I26" s="2" cm="1">
        <f t="array" ref="I26">IFERROR(
MIN(
_xlfn._xlws.FILTER(
--_xlfn.TEXTBEFORE(
SUBSTITUTE(
SUBSTITUTE(PRICING[Min Qty],"+"," "),
"-"," "
),
" "
),
(PRICING[SKU]=$A26)*
(PRICING[Set]=4)*
(PRICING[Rebate $]&lt;&gt;0)*
(PRICING[Rebate $]&lt;&gt;"")
)
),
0
)</f>
        <v>0</v>
      </c>
      <c r="J26" s="2" cm="1">
        <f t="array" ref="J26">SUM(
    SUMIFS(
        PRICING[Rebate $],
        PRICING[Program],
        {"EOP/ORN","ORN","EOP","NOW","LL/NOW","LL/SLP/NOW","LL/SLP/EOP"},
        PRICING[SKU],
        Rebate_Lookup[[#This Row],[SKU CODE]],
        PRICING[Set],
        1
    )
)</f>
        <v>20</v>
      </c>
      <c r="K26" s="2" cm="1">
        <f t="array" ref="K26">SUM(
    SUMIFS(
        PRICING[Rebate $],
        PRICING[Program],
        {"EOP/ORN","ORN","EOP","NOW","LL/NOW","LL/SLP/NOW","LL/SLP/EOP"},
        PRICING[SKU],
        Rebate_Lookup[[#This Row],[SKU CODE]],
        PRICING[Set],
        2
    )
)</f>
        <v>0</v>
      </c>
      <c r="L26" s="2" cm="1">
        <f t="array" ref="L26">SUM(
    SUMIFS(
        PRICING[Rebate $],
        PRICING[Program],
        {"EOP/ORN","ORN","EOP","NOW","LL/NOW","LL/SLP/NOW","LL/SLP/EOP"},
        PRICING[SKU],
        Rebate_Lookup[[#This Row],[SKU CODE]],
        PRICING[Set],
        3
    )
)</f>
        <v>0</v>
      </c>
      <c r="M26" s="2" cm="1">
        <f t="array" ref="M26">SUM(
    SUMIFS(
        PRICING[Rebate $],
        PRICING[Program],
        {"EOP/ORN","ORN","EOP","NOW","LL/NOW","LL/SLP/NOW","LL/SLP/EOP"},
        PRICING[SKU],
        Rebate_Lookup[[#This Row],[SKU CODE]],
        PRICING[Set],
        4
    )
)</f>
        <v>0</v>
      </c>
      <c r="N26" s="2">
        <f>INDEX(Estimates!H:H,MATCH(Rebate_Lookup[[#This Row],[SKU CODE]],Estimates!A:A,0))</f>
        <v>0</v>
      </c>
      <c r="O26"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26" s="2">
        <f>COUNTIF(Estimates!A:A,Rebate_Lookup[[#This Row],[SKU CODE]])</f>
        <v>1</v>
      </c>
      <c r="Q26" s="3" t="b">
        <f>IFERROR(Rebate_Lookup[[#This Row],[Order Form Quantity]]&gt;=Rebate_Lookup[[#This Row],[MOQ_2]],0)</f>
        <v>1</v>
      </c>
    </row>
    <row r="27" spans="1:17" x14ac:dyDescent="0.2">
      <c r="A27" s="186">
        <v>79850980</v>
      </c>
      <c r="B27" s="2" t="str">
        <f>INDEX(PRICING[Agency/TT],MATCH(Rebate_Lookup[[#This Row],[SKU CODE]],PRICING[SKU],0))</f>
        <v>TT</v>
      </c>
      <c r="C27" s="2" t="str">
        <f>INDEX(PRICING[Product],MATCH(Rebate_Lookup[[#This Row],[SKU CODE]],PRICING[SKU],0))</f>
        <v>Revolver®</v>
      </c>
      <c r="D27" s="2" t="str">
        <f>INDEX(PRICING[Size],MATCH(Rebate_Lookup[[#This Row],[SKU CODE]],PRICING[SKU],0))</f>
        <v>32 fl oz</v>
      </c>
      <c r="E27" s="2" cm="1">
        <f t="array" ref="E27">SUM(COUNTIFS(
    PRICING[Program],{"EOP/ORN","ORN","EOP","NOW","LL/NOW","LL/SLP/NOW","LL/SLP/EOP"},
    PRICING[SKU],A27
))</f>
        <v>1</v>
      </c>
      <c r="F27" s="2" cm="1">
        <f t="array" ref="F27">IFERROR(
MIN(
_xlfn._xlws.FILTER(
--_xlfn.TEXTBEFORE(
SUBSTITUTE(
SUBSTITUTE(PRICING[Min Qty],"+"," "),
"-"," "
),
" "
),
(PRICING[SKU]=$A27)*
(PRICING[Set]=1)*
(PRICING[Rebate $]&lt;&gt;0)*
(PRICING[Rebate $]&lt;&gt;"")
)
),
0
)</f>
        <v>0</v>
      </c>
      <c r="G27" s="2" cm="1">
        <f t="array" ref="G27">IFERROR(
MIN(
_xlfn._xlws.FILTER(
--_xlfn.TEXTBEFORE(
SUBSTITUTE(
SUBSTITUTE(PRICING[Min Qty],"+"," "),
"-"," "
),
" "
),
(PRICING[SKU]=$A27)*
(PRICING[Set]=2)*
(PRICING[Rebate $]&lt;&gt;0)*
(PRICING[Rebate $]&lt;&gt;"")
)
),
0
)</f>
        <v>0</v>
      </c>
      <c r="H27" s="2" cm="1">
        <f t="array" ref="H27">IFERROR(
MIN(
_xlfn._xlws.FILTER(
--_xlfn.TEXTBEFORE(
SUBSTITUTE(
SUBSTITUTE(PRICING[Min Qty],"+"," "),
"-"," "
),
" "
),
(PRICING[SKU]=$A27)*
(PRICING[Set]=3)*
(PRICING[Rebate $]&lt;&gt;0)*
(PRICING[Rebate $]&lt;&gt;"")
)
),
0
)</f>
        <v>0</v>
      </c>
      <c r="I27" s="2" cm="1">
        <f t="array" ref="I27">IFERROR(
MIN(
_xlfn._xlws.FILTER(
--_xlfn.TEXTBEFORE(
SUBSTITUTE(
SUBSTITUTE(PRICING[Min Qty],"+"," "),
"-"," "
),
" "
),
(PRICING[SKU]=$A27)*
(PRICING[Set]=4)*
(PRICING[Rebate $]&lt;&gt;0)*
(PRICING[Rebate $]&lt;&gt;"")
)
),
0
)</f>
        <v>0</v>
      </c>
      <c r="J27" s="2" cm="1">
        <f t="array" ref="J27">SUM(
    SUMIFS(
        PRICING[Rebate $],
        PRICING[Program],
        {"EOP/ORN","ORN","EOP","NOW","LL/NOW","LL/SLP/NOW","LL/SLP/EOP"},
        PRICING[SKU],
        Rebate_Lookup[[#This Row],[SKU CODE]],
        PRICING[Set],
        1
    )
)</f>
        <v>25</v>
      </c>
      <c r="K27" s="2" cm="1">
        <f t="array" ref="K27">SUM(
    SUMIFS(
        PRICING[Rebate $],
        PRICING[Program],
        {"EOP/ORN","ORN","EOP","NOW","LL/NOW","LL/SLP/NOW","LL/SLP/EOP"},
        PRICING[SKU],
        Rebate_Lookup[[#This Row],[SKU CODE]],
        PRICING[Set],
        2
    )
)</f>
        <v>0</v>
      </c>
      <c r="L27" s="2" cm="1">
        <f t="array" ref="L27">SUM(
    SUMIFS(
        PRICING[Rebate $],
        PRICING[Program],
        {"EOP/ORN","ORN","EOP","NOW","LL/NOW","LL/SLP/NOW","LL/SLP/EOP"},
        PRICING[SKU],
        Rebate_Lookup[[#This Row],[SKU CODE]],
        PRICING[Set],
        3
    )
)</f>
        <v>0</v>
      </c>
      <c r="M27" s="2" cm="1">
        <f t="array" ref="M27">SUM(
    SUMIFS(
        PRICING[Rebate $],
        PRICING[Program],
        {"EOP/ORN","ORN","EOP","NOW","LL/NOW","LL/SLP/NOW","LL/SLP/EOP"},
        PRICING[SKU],
        Rebate_Lookup[[#This Row],[SKU CODE]],
        PRICING[Set],
        4
    )
)</f>
        <v>0</v>
      </c>
      <c r="N27" s="2">
        <f>INDEX(Estimates!H:H,MATCH(Rebate_Lookup[[#This Row],[SKU CODE]],Estimates!A:A,0))</f>
        <v>0</v>
      </c>
      <c r="O27"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27" s="2">
        <f>COUNTIF(Estimates!A:A,Rebate_Lookup[[#This Row],[SKU CODE]])</f>
        <v>1</v>
      </c>
      <c r="Q27" s="3" t="b">
        <f>IFERROR(Rebate_Lookup[[#This Row],[Order Form Quantity]]&gt;=Rebate_Lookup[[#This Row],[MOQ_2]],0)</f>
        <v>1</v>
      </c>
    </row>
    <row r="28" spans="1:17" x14ac:dyDescent="0.2">
      <c r="A28" s="186">
        <v>79545312</v>
      </c>
      <c r="B28" s="2" t="str">
        <f>INDEX(PRICING[Agency/TT],MATCH(Rebate_Lookup[[#This Row],[SKU CODE]],PRICING[SKU],0))</f>
        <v>A</v>
      </c>
      <c r="C28" s="2" t="str">
        <f>INDEX(PRICING[Product],MATCH(Rebate_Lookup[[#This Row],[SKU CODE]],PRICING[SKU],0))</f>
        <v>Revolver®</v>
      </c>
      <c r="D28" s="2" t="str">
        <f>INDEX(PRICING[Size],MATCH(Rebate_Lookup[[#This Row],[SKU CODE]],PRICING[SKU],0))</f>
        <v>87 fl oz</v>
      </c>
      <c r="E28" s="2" cm="1">
        <f t="array" ref="E28">SUM(COUNTIFS(
    PRICING[Program],{"EOP/ORN","ORN","EOP","NOW","LL/NOW","LL/SLP/NOW","LL/SLP/EOP"},
    PRICING[SKU],A28
))</f>
        <v>2</v>
      </c>
      <c r="F28" s="2" cm="1">
        <f t="array" ref="F28">IFERROR(
MIN(
_xlfn._xlws.FILTER(
--_xlfn.TEXTBEFORE(
SUBSTITUTE(
SUBSTITUTE(PRICING[Min Qty],"+"," "),
"-"," "
),
" "
),
(PRICING[SKU]=$A28)*
(PRICING[Set]=1)*
(PRICING[Rebate $]&lt;&gt;0)*
(PRICING[Rebate $]&lt;&gt;"")
)
),
0
)</f>
        <v>1</v>
      </c>
      <c r="G28" s="2" cm="1">
        <f t="array" ref="G28">IFERROR(
MIN(
_xlfn._xlws.FILTER(
--_xlfn.TEXTBEFORE(
SUBSTITUTE(
SUBSTITUTE(PRICING[Min Qty],"+"," "),
"-"," "
),
" "
),
(PRICING[SKU]=$A28)*
(PRICING[Set]=2)*
(PRICING[Rebate $]&lt;&gt;0)*
(PRICING[Rebate $]&lt;&gt;"")
)
),
0
)</f>
        <v>6</v>
      </c>
      <c r="H28" s="2" cm="1">
        <f t="array" ref="H28">IFERROR(
MIN(
_xlfn._xlws.FILTER(
--_xlfn.TEXTBEFORE(
SUBSTITUTE(
SUBSTITUTE(PRICING[Min Qty],"+"," "),
"-"," "
),
" "
),
(PRICING[SKU]=$A28)*
(PRICING[Set]=3)*
(PRICING[Rebate $]&lt;&gt;0)*
(PRICING[Rebate $]&lt;&gt;"")
)
),
0
)</f>
        <v>0</v>
      </c>
      <c r="I28" s="2" cm="1">
        <f t="array" ref="I28">IFERROR(
MIN(
_xlfn._xlws.FILTER(
--_xlfn.TEXTBEFORE(
SUBSTITUTE(
SUBSTITUTE(PRICING[Min Qty],"+"," "),
"-"," "
),
" "
),
(PRICING[SKU]=$A28)*
(PRICING[Set]=4)*
(PRICING[Rebate $]&lt;&gt;0)*
(PRICING[Rebate $]&lt;&gt;"")
)
),
0
)</f>
        <v>0</v>
      </c>
      <c r="J28" s="2" cm="1">
        <f t="array" ref="J28">SUM(
    SUMIFS(
        PRICING[Rebate $],
        PRICING[Program],
        {"EOP/ORN","ORN","EOP","NOW","LL/NOW","LL/SLP/NOW","LL/SLP/EOP"},
        PRICING[SKU],
        Rebate_Lookup[[#This Row],[SKU CODE]],
        PRICING[Set],
        1
    )
)</f>
        <v>40</v>
      </c>
      <c r="K28" s="2" cm="1">
        <f t="array" ref="K28">SUM(
    SUMIFS(
        PRICING[Rebate $],
        PRICING[Program],
        {"EOP/ORN","ORN","EOP","NOW","LL/NOW","LL/SLP/NOW","LL/SLP/EOP"},
        PRICING[SKU],
        Rebate_Lookup[[#This Row],[SKU CODE]],
        PRICING[Set],
        2
    )
)</f>
        <v>65</v>
      </c>
      <c r="L28" s="2" cm="1">
        <f t="array" ref="L28">SUM(
    SUMIFS(
        PRICING[Rebate $],
        PRICING[Program],
        {"EOP/ORN","ORN","EOP","NOW","LL/NOW","LL/SLP/NOW","LL/SLP/EOP"},
        PRICING[SKU],
        Rebate_Lookup[[#This Row],[SKU CODE]],
        PRICING[Set],
        3
    )
)</f>
        <v>0</v>
      </c>
      <c r="M28" s="2" cm="1">
        <f t="array" ref="M28">SUM(
    SUMIFS(
        PRICING[Rebate $],
        PRICING[Program],
        {"EOP/ORN","ORN","EOP","NOW","LL/NOW","LL/SLP/NOW","LL/SLP/EOP"},
        PRICING[SKU],
        Rebate_Lookup[[#This Row],[SKU CODE]],
        PRICING[Set],
        4
    )
)</f>
        <v>0</v>
      </c>
      <c r="N28" s="2">
        <f>INDEX(Estimates!H:H,MATCH(Rebate_Lookup[[#This Row],[SKU CODE]],Estimates!A:A,0))</f>
        <v>0</v>
      </c>
      <c r="O28" s="2"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28" s="2">
        <f>COUNTIF(Estimates!A:A,Rebate_Lookup[[#This Row],[SKU CODE]])</f>
        <v>1</v>
      </c>
      <c r="Q28" s="3" t="b">
        <f>IFERROR(Rebate_Lookup[[#This Row],[Order Form Quantity]]&gt;=Rebate_Lookup[[#This Row],[MOQ_2]],0)</f>
        <v>0</v>
      </c>
    </row>
    <row r="29" spans="1:17" x14ac:dyDescent="0.2">
      <c r="A29" s="186">
        <v>11009495</v>
      </c>
      <c r="B29" s="2" t="str">
        <f>INDEX(PRICING[Agency/TT],MATCH(Rebate_Lookup[[#This Row],[SKU CODE]],PRICING[SKU],0))</f>
        <v>A</v>
      </c>
      <c r="C29" s="2" t="str">
        <f>INDEX(PRICING[Product],MATCH(Rebate_Lookup[[#This Row],[SKU CODE]],PRICING[SKU],0))</f>
        <v>Scion® with UVX Technology</v>
      </c>
      <c r="D29" s="2" t="str">
        <f>INDEX(PRICING[Size],MATCH(Rebate_Lookup[[#This Row],[SKU CODE]],PRICING[SKU],0))</f>
        <v>32 oz</v>
      </c>
      <c r="E29" s="2" cm="1">
        <f t="array" ref="E29">SUM(COUNTIFS(
    PRICING[Program],{"EOP/ORN","ORN","EOP","NOW","LL/NOW","LL/SLP/NOW","LL/SLP/EOP"},
    PRICING[SKU],A29
))</f>
        <v>2</v>
      </c>
      <c r="F29" s="2" cm="1">
        <f t="array" ref="F29">IFERROR(
MIN(
_xlfn._xlws.FILTER(
--_xlfn.TEXTBEFORE(
SUBSTITUTE(
SUBSTITUTE(PRICING[Min Qty],"+"," "),
"-"," "
),
" "
),
(PRICING[SKU]=$A29)*
(PRICING[Set]=1)*
(PRICING[Rebate $]&lt;&gt;0)*
(PRICING[Rebate $]&lt;&gt;"")
)
),
0
)</f>
        <v>1</v>
      </c>
      <c r="G29" s="2" cm="1">
        <f t="array" ref="G29">IFERROR(
MIN(
_xlfn._xlws.FILTER(
--_xlfn.TEXTBEFORE(
SUBSTITUTE(
SUBSTITUTE(PRICING[Min Qty],"+"," "),
"-"," "
),
" "
),
(PRICING[SKU]=$A29)*
(PRICING[Set]=2)*
(PRICING[Rebate $]&lt;&gt;0)*
(PRICING[Rebate $]&lt;&gt;"")
)
),
0
)</f>
        <v>8</v>
      </c>
      <c r="H29" s="2" cm="1">
        <f t="array" ref="H29">IFERROR(
MIN(
_xlfn._xlws.FILTER(
--_xlfn.TEXTBEFORE(
SUBSTITUTE(
SUBSTITUTE(PRICING[Min Qty],"+"," "),
"-"," "
),
" "
),
(PRICING[SKU]=$A29)*
(PRICING[Set]=3)*
(PRICING[Rebate $]&lt;&gt;0)*
(PRICING[Rebate $]&lt;&gt;"")
)
),
0
)</f>
        <v>0</v>
      </c>
      <c r="I29" s="2" cm="1">
        <f t="array" ref="I29">IFERROR(
MIN(
_xlfn._xlws.FILTER(
--_xlfn.TEXTBEFORE(
SUBSTITUTE(
SUBSTITUTE(PRICING[Min Qty],"+"," "),
"-"," "
),
" "
),
(PRICING[SKU]=$A29)*
(PRICING[Set]=4)*
(PRICING[Rebate $]&lt;&gt;0)*
(PRICING[Rebate $]&lt;&gt;"")
)
),
0
)</f>
        <v>0</v>
      </c>
      <c r="J29" s="2" cm="1">
        <f t="array" ref="J29">SUM(
    SUMIFS(
        PRICING[Rebate $],
        PRICING[Program],
        {"EOP/ORN","ORN","EOP","NOW","LL/NOW","LL/SLP/NOW","LL/SLP/EOP"},
        PRICING[SKU],
        Rebate_Lookup[[#This Row],[SKU CODE]],
        PRICING[Set],
        1
    )
)</f>
        <v>1.65</v>
      </c>
      <c r="K29" s="2" cm="1">
        <f t="array" ref="K29">SUM(
    SUMIFS(
        PRICING[Rebate $],
        PRICING[Program],
        {"EOP/ORN","ORN","EOP","NOW","LL/NOW","LL/SLP/NOW","LL/SLP/EOP"},
        PRICING[SKU],
        Rebate_Lookup[[#This Row],[SKU CODE]],
        PRICING[Set],
        2
    )
)</f>
        <v>26.65</v>
      </c>
      <c r="L29" s="2" cm="1">
        <f t="array" ref="L29">SUM(
    SUMIFS(
        PRICING[Rebate $],
        PRICING[Program],
        {"EOP/ORN","ORN","EOP","NOW","LL/NOW","LL/SLP/NOW","LL/SLP/EOP"},
        PRICING[SKU],
        Rebate_Lookup[[#This Row],[SKU CODE]],
        PRICING[Set],
        3
    )
)</f>
        <v>0</v>
      </c>
      <c r="M29" s="2" cm="1">
        <f t="array" ref="M29">SUM(
    SUMIFS(
        PRICING[Rebate $],
        PRICING[Program],
        {"EOP/ORN","ORN","EOP","NOW","LL/NOW","LL/SLP/NOW","LL/SLP/EOP"},
        PRICING[SKU],
        Rebate_Lookup[[#This Row],[SKU CODE]],
        PRICING[Set],
        4
    )
)</f>
        <v>0</v>
      </c>
      <c r="N29" s="2">
        <f>INDEX(Estimates!H:H,MATCH(Rebate_Lookup[[#This Row],[SKU CODE]],Estimates!A:A,0))</f>
        <v>0</v>
      </c>
      <c r="O29" s="2"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29" s="2">
        <f>COUNTIF(Estimates!A:A,Rebate_Lookup[[#This Row],[SKU CODE]])</f>
        <v>1</v>
      </c>
      <c r="Q29" s="3" t="b">
        <f>IFERROR(Rebate_Lookup[[#This Row],[Order Form Quantity]]&gt;=Rebate_Lookup[[#This Row],[MOQ_2]],0)</f>
        <v>0</v>
      </c>
    </row>
    <row r="30" spans="1:17" x14ac:dyDescent="0.2">
      <c r="A30" s="186">
        <v>11008482</v>
      </c>
      <c r="B30" s="2" t="str">
        <f>INDEX(PRICING[Agency/TT],MATCH(Rebate_Lookup[[#This Row],[SKU CODE]],PRICING[SKU],0))</f>
        <v>TT</v>
      </c>
      <c r="C30" s="2" t="str">
        <f>INDEX(PRICING[Product],MATCH(Rebate_Lookup[[#This Row],[SKU CODE]],PRICING[SKU],0))</f>
        <v xml:space="preserve">Solitare® Herbicide </v>
      </c>
      <c r="D30" s="2" t="str">
        <f>INDEX(PRICING[Size],MATCH(Rebate_Lookup[[#This Row],[SKU CODE]],PRICING[SKU],0))</f>
        <v xml:space="preserve">1 lb </v>
      </c>
      <c r="E30" s="2" cm="1">
        <f t="array" ref="E30">SUM(COUNTIFS(
    PRICING[Program],{"EOP/ORN","ORN","EOP","NOW","LL/NOW","LL/SLP/NOW","LL/SLP/EOP"},
    PRICING[SKU],A30
))</f>
        <v>1</v>
      </c>
      <c r="F30" s="2" cm="1">
        <f t="array" ref="F30">IFERROR(
MIN(
_xlfn._xlws.FILTER(
--_xlfn.TEXTBEFORE(
SUBSTITUTE(
SUBSTITUTE(PRICING[Min Qty],"+"," "),
"-"," "
),
" "
),
(PRICING[SKU]=$A30)*
(PRICING[Set]=1)*
(PRICING[Rebate $]&lt;&gt;0)*
(PRICING[Rebate $]&lt;&gt;"")
)
),
0
)</f>
        <v>0</v>
      </c>
      <c r="G30" s="2" cm="1">
        <f t="array" ref="G30">IFERROR(
MIN(
_xlfn._xlws.FILTER(
--_xlfn.TEXTBEFORE(
SUBSTITUTE(
SUBSTITUTE(PRICING[Min Qty],"+"," "),
"-"," "
),
" "
),
(PRICING[SKU]=$A30)*
(PRICING[Set]=2)*
(PRICING[Rebate $]&lt;&gt;0)*
(PRICING[Rebate $]&lt;&gt;"")
)
),
0
)</f>
        <v>0</v>
      </c>
      <c r="H30" s="2" cm="1">
        <f t="array" ref="H30">IFERROR(
MIN(
_xlfn._xlws.FILTER(
--_xlfn.TEXTBEFORE(
SUBSTITUTE(
SUBSTITUTE(PRICING[Min Qty],"+"," "),
"-"," "
),
" "
),
(PRICING[SKU]=$A30)*
(PRICING[Set]=3)*
(PRICING[Rebate $]&lt;&gt;0)*
(PRICING[Rebate $]&lt;&gt;"")
)
),
0
)</f>
        <v>0</v>
      </c>
      <c r="I30" s="2" cm="1">
        <f t="array" ref="I30">IFERROR(
MIN(
_xlfn._xlws.FILTER(
--_xlfn.TEXTBEFORE(
SUBSTITUTE(
SUBSTITUTE(PRICING[Min Qty],"+"," "),
"-"," "
),
" "
),
(PRICING[SKU]=$A30)*
(PRICING[Set]=4)*
(PRICING[Rebate $]&lt;&gt;0)*
(PRICING[Rebate $]&lt;&gt;"")
)
),
0
)</f>
        <v>0</v>
      </c>
      <c r="J30" s="2" cm="1">
        <f t="array" ref="J30">SUM(
    SUMIFS(
        PRICING[Rebate $],
        PRICING[Program],
        {"EOP/ORN","ORN","EOP","NOW","LL/NOW","LL/SLP/NOW","LL/SLP/EOP"},
        PRICING[SKU],
        Rebate_Lookup[[#This Row],[SKU CODE]],
        PRICING[Set],
        1
    )
)</f>
        <v>8</v>
      </c>
      <c r="K30" s="2" cm="1">
        <f t="array" ref="K30">SUM(
    SUMIFS(
        PRICING[Rebate $],
        PRICING[Program],
        {"EOP/ORN","ORN","EOP","NOW","LL/NOW","LL/SLP/NOW","LL/SLP/EOP"},
        PRICING[SKU],
        Rebate_Lookup[[#This Row],[SKU CODE]],
        PRICING[Set],
        2
    )
)</f>
        <v>0</v>
      </c>
      <c r="L30" s="2" cm="1">
        <f t="array" ref="L30">SUM(
    SUMIFS(
        PRICING[Rebate $],
        PRICING[Program],
        {"EOP/ORN","ORN","EOP","NOW","LL/NOW","LL/SLP/NOW","LL/SLP/EOP"},
        PRICING[SKU],
        Rebate_Lookup[[#This Row],[SKU CODE]],
        PRICING[Set],
        3
    )
)</f>
        <v>0</v>
      </c>
      <c r="M30" s="2" cm="1">
        <f t="array" ref="M30">SUM(
    SUMIFS(
        PRICING[Rebate $],
        PRICING[Program],
        {"EOP/ORN","ORN","EOP","NOW","LL/NOW","LL/SLP/NOW","LL/SLP/EOP"},
        PRICING[SKU],
        Rebate_Lookup[[#This Row],[SKU CODE]],
        PRICING[Set],
        4
    )
)</f>
        <v>0</v>
      </c>
      <c r="N30" s="2">
        <f>INDEX(Estimates!H:H,MATCH(Rebate_Lookup[[#This Row],[SKU CODE]],Estimates!A:A,0))</f>
        <v>0</v>
      </c>
      <c r="O30"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30" s="2">
        <f>COUNTIF(Estimates!A:A,Rebate_Lookup[[#This Row],[SKU CODE]])</f>
        <v>1</v>
      </c>
      <c r="Q30" s="3" t="b">
        <f>IFERROR(Rebate_Lookup[[#This Row],[Order Form Quantity]]&gt;=Rebate_Lookup[[#This Row],[MOQ_2]],0)</f>
        <v>1</v>
      </c>
    </row>
    <row r="31" spans="1:17" x14ac:dyDescent="0.2">
      <c r="A31" s="186">
        <v>11008522</v>
      </c>
      <c r="B31" s="2" t="str">
        <f>INDEX(PRICING[Agency/TT],MATCH(Rebate_Lookup[[#This Row],[SKU CODE]],PRICING[SKU],0))</f>
        <v>A</v>
      </c>
      <c r="C31" s="2" t="str">
        <f>INDEX(PRICING[Product],MATCH(Rebate_Lookup[[#This Row],[SKU CODE]],PRICING[SKU],0))</f>
        <v xml:space="preserve">Solitare® Herbicide </v>
      </c>
      <c r="D31" s="2" t="str">
        <f>INDEX(PRICING[Size],MATCH(Rebate_Lookup[[#This Row],[SKU CODE]],PRICING[SKU],0))</f>
        <v>4 lb</v>
      </c>
      <c r="E31" s="2" cm="1">
        <f t="array" ref="E31">SUM(COUNTIFS(
    PRICING[Program],{"EOP/ORN","ORN","EOP","NOW","LL/NOW","LL/SLP/NOW","LL/SLP/EOP"},
    PRICING[SKU],A31
))</f>
        <v>2</v>
      </c>
      <c r="F31" s="2" cm="1">
        <f t="array" ref="F31">IFERROR(
MIN(
_xlfn._xlws.FILTER(
--_xlfn.TEXTBEFORE(
SUBSTITUTE(
SUBSTITUTE(PRICING[Min Qty],"+"," "),
"-"," "
),
" "
),
(PRICING[SKU]=$A31)*
(PRICING[Set]=1)*
(PRICING[Rebate $]&lt;&gt;0)*
(PRICING[Rebate $]&lt;&gt;"")
)
),
0
)</f>
        <v>0</v>
      </c>
      <c r="G31" s="2" cm="1">
        <f t="array" ref="G31">IFERROR(
MIN(
_xlfn._xlws.FILTER(
--_xlfn.TEXTBEFORE(
SUBSTITUTE(
SUBSTITUTE(PRICING[Min Qty],"+"," "),
"-"," "
),
" "
),
(PRICING[SKU]=$A31)*
(PRICING[Set]=2)*
(PRICING[Rebate $]&lt;&gt;0)*
(PRICING[Rebate $]&lt;&gt;"")
)
),
0
)</f>
        <v>8</v>
      </c>
      <c r="H31" s="2" cm="1">
        <f t="array" ref="H31">IFERROR(
MIN(
_xlfn._xlws.FILTER(
--_xlfn.TEXTBEFORE(
SUBSTITUTE(
SUBSTITUTE(PRICING[Min Qty],"+"," "),
"-"," "
),
" "
),
(PRICING[SKU]=$A31)*
(PRICING[Set]=3)*
(PRICING[Rebate $]&lt;&gt;0)*
(PRICING[Rebate $]&lt;&gt;"")
)
),
0
)</f>
        <v>0</v>
      </c>
      <c r="I31" s="2" cm="1">
        <f t="array" ref="I31">IFERROR(
MIN(
_xlfn._xlws.FILTER(
--_xlfn.TEXTBEFORE(
SUBSTITUTE(
SUBSTITUTE(PRICING[Min Qty],"+"," "),
"-"," "
),
" "
),
(PRICING[SKU]=$A31)*
(PRICING[Set]=4)*
(PRICING[Rebate $]&lt;&gt;0)*
(PRICING[Rebate $]&lt;&gt;"")
)
),
0
)</f>
        <v>0</v>
      </c>
      <c r="J31" s="2" cm="1">
        <f t="array" ref="J31">SUM(
    SUMIFS(
        PRICING[Rebate $],
        PRICING[Program],
        {"EOP/ORN","ORN","EOP","NOW","LL/NOW","LL/SLP/NOW","LL/SLP/EOP"},
        PRICING[SKU],
        Rebate_Lookup[[#This Row],[SKU CODE]],
        PRICING[Set],
        1
    )
)</f>
        <v>0</v>
      </c>
      <c r="K31" s="2" cm="1">
        <f t="array" ref="K31">SUM(
    SUMIFS(
        PRICING[Rebate $],
        PRICING[Program],
        {"EOP/ORN","ORN","EOP","NOW","LL/NOW","LL/SLP/NOW","LL/SLP/EOP"},
        PRICING[SKU],
        Rebate_Lookup[[#This Row],[SKU CODE]],
        PRICING[Set],
        2
    )
)</f>
        <v>32</v>
      </c>
      <c r="L31" s="2" cm="1">
        <f t="array" ref="L31">SUM(
    SUMIFS(
        PRICING[Rebate $],
        PRICING[Program],
        {"EOP/ORN","ORN","EOP","NOW","LL/NOW","LL/SLP/NOW","LL/SLP/EOP"},
        PRICING[SKU],
        Rebate_Lookup[[#This Row],[SKU CODE]],
        PRICING[Set],
        3
    )
)</f>
        <v>0</v>
      </c>
      <c r="M31" s="2" cm="1">
        <f t="array" ref="M31">SUM(
    SUMIFS(
        PRICING[Rebate $],
        PRICING[Program],
        {"EOP/ORN","ORN","EOP","NOW","LL/NOW","LL/SLP/NOW","LL/SLP/EOP"},
        PRICING[SKU],
        Rebate_Lookup[[#This Row],[SKU CODE]],
        PRICING[Set],
        4
    )
)</f>
        <v>0</v>
      </c>
      <c r="N31" s="2">
        <f>INDEX(Estimates!H:H,MATCH(Rebate_Lookup[[#This Row],[SKU CODE]],Estimates!A:A,0))</f>
        <v>0</v>
      </c>
      <c r="O31"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31" s="2">
        <f>COUNTIF(Estimates!A:A,Rebate_Lookup[[#This Row],[SKU CODE]])</f>
        <v>1</v>
      </c>
      <c r="Q31" s="3" t="b">
        <f>IFERROR(Rebate_Lookup[[#This Row],[Order Form Quantity]]&gt;=Rebate_Lookup[[#This Row],[MOQ_2]],0)</f>
        <v>0</v>
      </c>
    </row>
    <row r="32" spans="1:17" x14ac:dyDescent="0.2">
      <c r="A32" s="186">
        <v>11008369</v>
      </c>
      <c r="B32" s="2" t="str">
        <f>INDEX(PRICING[Agency/TT],MATCH(Rebate_Lookup[[#This Row],[SKU CODE]],PRICING[SKU],0))</f>
        <v>TT</v>
      </c>
      <c r="C32" s="2" t="str">
        <f>INDEX(PRICING[Product],MATCH(Rebate_Lookup[[#This Row],[SKU CODE]],PRICING[SKU],0))</f>
        <v>Solitare® WSL Herbicide</v>
      </c>
      <c r="D32" s="2" t="str">
        <f>INDEX(PRICING[Size],MATCH(Rebate_Lookup[[#This Row],[SKU CODE]],PRICING[SKU],0))</f>
        <v xml:space="preserve">0.75 gal </v>
      </c>
      <c r="E32" s="2" cm="1">
        <f t="array" ref="E32">SUM(COUNTIFS(
    PRICING[Program],{"EOP/ORN","ORN","EOP","NOW","LL/NOW","LL/SLP/NOW","LL/SLP/EOP"},
    PRICING[SKU],A32
))</f>
        <v>1</v>
      </c>
      <c r="F32" s="2" cm="1">
        <f t="array" ref="F32">IFERROR(
MIN(
_xlfn._xlws.FILTER(
--_xlfn.TEXTBEFORE(
SUBSTITUTE(
SUBSTITUTE(PRICING[Min Qty],"+"," "),
"-"," "
),
" "
),
(PRICING[SKU]=$A32)*
(PRICING[Set]=1)*
(PRICING[Rebate $]&lt;&gt;0)*
(PRICING[Rebate $]&lt;&gt;"")
)
),
0
)</f>
        <v>0</v>
      </c>
      <c r="G32" s="2" cm="1">
        <f t="array" ref="G32">IFERROR(
MIN(
_xlfn._xlws.FILTER(
--_xlfn.TEXTBEFORE(
SUBSTITUTE(
SUBSTITUTE(PRICING[Min Qty],"+"," "),
"-"," "
),
" "
),
(PRICING[SKU]=$A32)*
(PRICING[Set]=2)*
(PRICING[Rebate $]&lt;&gt;0)*
(PRICING[Rebate $]&lt;&gt;"")
)
),
0
)</f>
        <v>0</v>
      </c>
      <c r="H32" s="2" cm="1">
        <f t="array" ref="H32">IFERROR(
MIN(
_xlfn._xlws.FILTER(
--_xlfn.TEXTBEFORE(
SUBSTITUTE(
SUBSTITUTE(PRICING[Min Qty],"+"," "),
"-"," "
),
" "
),
(PRICING[SKU]=$A32)*
(PRICING[Set]=3)*
(PRICING[Rebate $]&lt;&gt;0)*
(PRICING[Rebate $]&lt;&gt;"")
)
),
0
)</f>
        <v>0</v>
      </c>
      <c r="I32" s="2" cm="1">
        <f t="array" ref="I32">IFERROR(
MIN(
_xlfn._xlws.FILTER(
--_xlfn.TEXTBEFORE(
SUBSTITUTE(
SUBSTITUTE(PRICING[Min Qty],"+"," "),
"-"," "
),
" "
),
(PRICING[SKU]=$A32)*
(PRICING[Set]=4)*
(PRICING[Rebate $]&lt;&gt;0)*
(PRICING[Rebate $]&lt;&gt;"")
)
),
0
)</f>
        <v>0</v>
      </c>
      <c r="J32" s="2" cm="1">
        <f t="array" ref="J32">SUM(
    SUMIFS(
        PRICING[Rebate $],
        PRICING[Program],
        {"EOP/ORN","ORN","EOP","NOW","LL/NOW","LL/SLP/NOW","LL/SLP/EOP"},
        PRICING[SKU],
        Rebate_Lookup[[#This Row],[SKU CODE]],
        PRICING[Set],
        1
    )
)</f>
        <v>8</v>
      </c>
      <c r="K32" s="2" cm="1">
        <f t="array" ref="K32">SUM(
    SUMIFS(
        PRICING[Rebate $],
        PRICING[Program],
        {"EOP/ORN","ORN","EOP","NOW","LL/NOW","LL/SLP/NOW","LL/SLP/EOP"},
        PRICING[SKU],
        Rebate_Lookup[[#This Row],[SKU CODE]],
        PRICING[Set],
        2
    )
)</f>
        <v>0</v>
      </c>
      <c r="L32" s="2" cm="1">
        <f t="array" ref="L32">SUM(
    SUMIFS(
        PRICING[Rebate $],
        PRICING[Program],
        {"EOP/ORN","ORN","EOP","NOW","LL/NOW","LL/SLP/NOW","LL/SLP/EOP"},
        PRICING[SKU],
        Rebate_Lookup[[#This Row],[SKU CODE]],
        PRICING[Set],
        3
    )
)</f>
        <v>0</v>
      </c>
      <c r="M32" s="2" cm="1">
        <f t="array" ref="M32">SUM(
    SUMIFS(
        PRICING[Rebate $],
        PRICING[Program],
        {"EOP/ORN","ORN","EOP","NOW","LL/NOW","LL/SLP/NOW","LL/SLP/EOP"},
        PRICING[SKU],
        Rebate_Lookup[[#This Row],[SKU CODE]],
        PRICING[Set],
        4
    )
)</f>
        <v>0</v>
      </c>
      <c r="N32" s="2">
        <f>INDEX(Estimates!H:H,MATCH(Rebate_Lookup[[#This Row],[SKU CODE]],Estimates!A:A,0))</f>
        <v>0</v>
      </c>
      <c r="O32"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32" s="2">
        <f>COUNTIF(Estimates!A:A,Rebate_Lookup[[#This Row],[SKU CODE]])</f>
        <v>1</v>
      </c>
      <c r="Q32" s="3" t="b">
        <f>IFERROR(Rebate_Lookup[[#This Row],[Order Form Quantity]]&gt;=Rebate_Lookup[[#This Row],[MOQ_2]],0)</f>
        <v>1</v>
      </c>
    </row>
    <row r="33" spans="1:17" x14ac:dyDescent="0.2">
      <c r="A33" s="187">
        <v>11013862</v>
      </c>
      <c r="B33" s="2" t="str">
        <f>INDEX(PRICING[Agency/TT],MATCH(Rebate_Lookup[[#This Row],[SKU CODE]],PRICING[SKU],0))</f>
        <v>A</v>
      </c>
      <c r="C33" s="2" t="str">
        <f>INDEX(PRICING[Product],MATCH(Rebate_Lookup[[#This Row],[SKU CODE]],PRICING[SKU],0))</f>
        <v>Solitare® WSL Herbicide</v>
      </c>
      <c r="D33" s="2" t="str">
        <f>INDEX(PRICING[Size],MATCH(Rebate_Lookup[[#This Row],[SKU CODE]],PRICING[SKU],0))</f>
        <v>2.5 gal</v>
      </c>
      <c r="E33" s="2" cm="1">
        <f t="array" ref="E33">SUM(COUNTIFS(
    PRICING[Program],{"EOP/ORN","ORN","EOP","NOW","LL/NOW","LL/SLP/NOW","LL/SLP/EOP"},
    PRICING[SKU],A33
))</f>
        <v>1</v>
      </c>
      <c r="F33" s="2" cm="1">
        <f t="array" ref="F33">IFERROR(
MIN(
_xlfn._xlws.FILTER(
--_xlfn.TEXTBEFORE(
SUBSTITUTE(
SUBSTITUTE(PRICING[Min Qty],"+"," "),
"-"," "
),
" "
),
(PRICING[SKU]=$A33)*
(PRICING[Set]=1)*
(PRICING[Rebate $]&lt;&gt;0)*
(PRICING[Rebate $]&lt;&gt;"")
)
),
0
)</f>
        <v>1</v>
      </c>
      <c r="G33" s="2" cm="1">
        <f t="array" ref="G33">IFERROR(
MIN(
_xlfn._xlws.FILTER(
--_xlfn.TEXTBEFORE(
SUBSTITUTE(
SUBSTITUTE(PRICING[Min Qty],"+"," "),
"-"," "
),
" "
),
(PRICING[SKU]=$A33)*
(PRICING[Set]=2)*
(PRICING[Rebate $]&lt;&gt;0)*
(PRICING[Rebate $]&lt;&gt;"")
)
),
0
)</f>
        <v>0</v>
      </c>
      <c r="H33" s="2" cm="1">
        <f t="array" ref="H33">IFERROR(
MIN(
_xlfn._xlws.FILTER(
--_xlfn.TEXTBEFORE(
SUBSTITUTE(
SUBSTITUTE(PRICING[Min Qty],"+"," "),
"-"," "
),
" "
),
(PRICING[SKU]=$A33)*
(PRICING[Set]=3)*
(PRICING[Rebate $]&lt;&gt;0)*
(PRICING[Rebate $]&lt;&gt;"")
)
),
0
)</f>
        <v>0</v>
      </c>
      <c r="I33" s="2" cm="1">
        <f t="array" ref="I33">IFERROR(
MIN(
_xlfn._xlws.FILTER(
--_xlfn.TEXTBEFORE(
SUBSTITUTE(
SUBSTITUTE(PRICING[Min Qty],"+"," "),
"-"," "
),
" "
),
(PRICING[SKU]=$A33)*
(PRICING[Set]=4)*
(PRICING[Rebate $]&lt;&gt;0)*
(PRICING[Rebate $]&lt;&gt;"")
)
),
0
)</f>
        <v>0</v>
      </c>
      <c r="J33" s="2" cm="1">
        <f t="array" ref="J33">SUM(
    SUMIFS(
        PRICING[Rebate $],
        PRICING[Program],
        {"EOP/ORN","ORN","EOP","NOW","LL/NOW","LL/SLP/NOW","LL/SLP/EOP"},
        PRICING[SKU],
        Rebate_Lookup[[#This Row],[SKU CODE]],
        PRICING[Set],
        1
    )
)</f>
        <v>10</v>
      </c>
      <c r="K33" s="2" cm="1">
        <f t="array" ref="K33">SUM(
    SUMIFS(
        PRICING[Rebate $],
        PRICING[Program],
        {"EOP/ORN","ORN","EOP","NOW","LL/NOW","LL/SLP/NOW","LL/SLP/EOP"},
        PRICING[SKU],
        Rebate_Lookup[[#This Row],[SKU CODE]],
        PRICING[Set],
        2
    )
)</f>
        <v>0</v>
      </c>
      <c r="L33" s="2" cm="1">
        <f t="array" ref="L33">SUM(
    SUMIFS(
        PRICING[Rebate $],
        PRICING[Program],
        {"EOP/ORN","ORN","EOP","NOW","LL/NOW","LL/SLP/NOW","LL/SLP/EOP"},
        PRICING[SKU],
        Rebate_Lookup[[#This Row],[SKU CODE]],
        PRICING[Set],
        3
    )
)</f>
        <v>0</v>
      </c>
      <c r="M33" s="2" cm="1">
        <f t="array" ref="M33">SUM(
    SUMIFS(
        PRICING[Rebate $],
        PRICING[Program],
        {"EOP/ORN","ORN","EOP","NOW","LL/NOW","LL/SLP/NOW","LL/SLP/EOP"},
        PRICING[SKU],
        Rebate_Lookup[[#This Row],[SKU CODE]],
        PRICING[Set],
        4
    )
)</f>
        <v>0</v>
      </c>
      <c r="N33" s="2">
        <f>INDEX(Estimates!H:H,MATCH(Rebate_Lookup[[#This Row],[SKU CODE]],Estimates!A:A,0))</f>
        <v>0</v>
      </c>
      <c r="O33" s="2"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33" s="2">
        <f>COUNTIF(Estimates!A:A,Rebate_Lookup[[#This Row],[SKU CODE]])</f>
        <v>1</v>
      </c>
      <c r="Q33" s="3" t="b">
        <f>IFERROR(Rebate_Lookup[[#This Row],[Order Form Quantity]]&gt;=Rebate_Lookup[[#This Row],[MOQ_2]],0)</f>
        <v>1</v>
      </c>
    </row>
    <row r="34" spans="1:17" x14ac:dyDescent="0.2">
      <c r="A34" s="186" t="s">
        <v>51</v>
      </c>
      <c r="B34" s="2" t="str">
        <f>INDEX(PRICING[Agency/TT],MATCH(Rebate_Lookup[[#This Row],[SKU CODE]],PRICING[SKU],0))</f>
        <v>A</v>
      </c>
      <c r="C34" s="2" t="str">
        <f>INDEX(PRICING[Product],MATCH(Rebate_Lookup[[#This Row],[SKU CODE]],PRICING[SKU],0))</f>
        <v xml:space="preserve">Specticle® FLO </v>
      </c>
      <c r="D34" s="2" t="str">
        <f>INDEX(PRICING[Size],MATCH(Rebate_Lookup[[#This Row],[SKU CODE]],PRICING[SKU],0))</f>
        <v>18 oz</v>
      </c>
      <c r="E34" s="2" cm="1">
        <f t="array" ref="E34">SUM(COUNTIFS(
    PRICING[Program],{"EOP/ORN","ORN","EOP","NOW","LL/NOW","LL/SLP/NOW","LL/SLP/EOP"},
    PRICING[SKU],A34
))</f>
        <v>1</v>
      </c>
      <c r="F34" s="2" cm="1">
        <f t="array" ref="F34">IFERROR(
MIN(
_xlfn._xlws.FILTER(
--_xlfn.TEXTBEFORE(
SUBSTITUTE(
SUBSTITUTE(PRICING[Min Qty],"+"," "),
"-"," "
),
" "
),
(PRICING[SKU]=$A34)*
(PRICING[Set]=1)*
(PRICING[Rebate $]&lt;&gt;0)*
(PRICING[Rebate $]&lt;&gt;"")
)
),
0
)</f>
        <v>0</v>
      </c>
      <c r="G34" s="2" cm="1">
        <f t="array" ref="G34">IFERROR(
MIN(
_xlfn._xlws.FILTER(
--_xlfn.TEXTBEFORE(
SUBSTITUTE(
SUBSTITUTE(PRICING[Min Qty],"+"," "),
"-"," "
),
" "
),
(PRICING[SKU]=$A34)*
(PRICING[Set]=2)*
(PRICING[Rebate $]&lt;&gt;0)*
(PRICING[Rebate $]&lt;&gt;"")
)
),
0
)</f>
        <v>0</v>
      </c>
      <c r="H34" s="2" cm="1">
        <f t="array" ref="H34">IFERROR(
MIN(
_xlfn._xlws.FILTER(
--_xlfn.TEXTBEFORE(
SUBSTITUTE(
SUBSTITUTE(PRICING[Min Qty],"+"," "),
"-"," "
),
" "
),
(PRICING[SKU]=$A34)*
(PRICING[Set]=3)*
(PRICING[Rebate $]&lt;&gt;0)*
(PRICING[Rebate $]&lt;&gt;"")
)
),
0
)</f>
        <v>0</v>
      </c>
      <c r="I34" s="2" cm="1">
        <f t="array" ref="I34">IFERROR(
MIN(
_xlfn._xlws.FILTER(
--_xlfn.TEXTBEFORE(
SUBSTITUTE(
SUBSTITUTE(PRICING[Min Qty],"+"," "),
"-"," "
),
" "
),
(PRICING[SKU]=$A34)*
(PRICING[Set]=4)*
(PRICING[Rebate $]&lt;&gt;0)*
(PRICING[Rebate $]&lt;&gt;"")
)
),
0
)</f>
        <v>0</v>
      </c>
      <c r="J34" s="2" cm="1">
        <f t="array" ref="J34">SUM(
    SUMIFS(
        PRICING[Rebate $],
        PRICING[Program],
        {"EOP/ORN","ORN","EOP","NOW","LL/NOW","LL/SLP/NOW","LL/SLP/EOP"},
        PRICING[SKU],
        Rebate_Lookup[[#This Row],[SKU CODE]],
        PRICING[Set],
        1
    )
)</f>
        <v>0</v>
      </c>
      <c r="K34" s="2" cm="1">
        <f t="array" ref="K34">SUM(
    SUMIFS(
        PRICING[Rebate $],
        PRICING[Program],
        {"EOP/ORN","ORN","EOP","NOW","LL/NOW","LL/SLP/NOW","LL/SLP/EOP"},
        PRICING[SKU],
        Rebate_Lookup[[#This Row],[SKU CODE]],
        PRICING[Set],
        2
    )
)</f>
        <v>0</v>
      </c>
      <c r="L34" s="2" cm="1">
        <f t="array" ref="L34">SUM(
    SUMIFS(
        PRICING[Rebate $],
        PRICING[Program],
        {"EOP/ORN","ORN","EOP","NOW","LL/NOW","LL/SLP/NOW","LL/SLP/EOP"},
        PRICING[SKU],
        Rebate_Lookup[[#This Row],[SKU CODE]],
        PRICING[Set],
        3
    )
)</f>
        <v>0</v>
      </c>
      <c r="M34" s="2" cm="1">
        <f t="array" ref="M34">SUM(
    SUMIFS(
        PRICING[Rebate $],
        PRICING[Program],
        {"EOP/ORN","ORN","EOP","NOW","LL/NOW","LL/SLP/NOW","LL/SLP/EOP"},
        PRICING[SKU],
        Rebate_Lookup[[#This Row],[SKU CODE]],
        PRICING[Set],
        4
    )
)</f>
        <v>0</v>
      </c>
      <c r="N34" s="2">
        <f>INDEX(Estimates!H:H,MATCH(Rebate_Lookup[[#This Row],[SKU CODE]],Estimates!A:A,0))</f>
        <v>0</v>
      </c>
      <c r="O34"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34" s="2">
        <f>COUNTIF(Estimates!A:A,Rebate_Lookup[[#This Row],[SKU CODE]])</f>
        <v>1</v>
      </c>
      <c r="Q34" s="3" t="b">
        <f>IFERROR(Rebate_Lookup[[#This Row],[Order Form Quantity]]&gt;=Rebate_Lookup[[#This Row],[MOQ_2]],0)</f>
        <v>1</v>
      </c>
    </row>
    <row r="35" spans="1:17" x14ac:dyDescent="0.2">
      <c r="A35" s="186" t="s">
        <v>52</v>
      </c>
      <c r="B35" s="2" t="str">
        <f>INDEX(PRICING[Agency/TT],MATCH(Rebate_Lookup[[#This Row],[SKU CODE]],PRICING[SKU],0))</f>
        <v>A</v>
      </c>
      <c r="C35" s="2" t="str">
        <f>INDEX(PRICING[Product],MATCH(Rebate_Lookup[[#This Row],[SKU CODE]],PRICING[SKU],0))</f>
        <v xml:space="preserve">Specticle® FLO </v>
      </c>
      <c r="D35" s="2" t="str">
        <f>INDEX(PRICING[Size],MATCH(Rebate_Lookup[[#This Row],[SKU CODE]],PRICING[SKU],0))</f>
        <v>1 gal</v>
      </c>
      <c r="E35" s="2" cm="1">
        <f t="array" ref="E35">SUM(COUNTIFS(
    PRICING[Program],{"EOP/ORN","ORN","EOP","NOW","LL/NOW","LL/SLP/NOW","LL/SLP/EOP"},
    PRICING[SKU],A35
))</f>
        <v>1</v>
      </c>
      <c r="F35" s="2" cm="1">
        <f t="array" ref="F35">IFERROR(
MIN(
_xlfn._xlws.FILTER(
--_xlfn.TEXTBEFORE(
SUBSTITUTE(
SUBSTITUTE(PRICING[Min Qty],"+"," "),
"-"," "
),
" "
),
(PRICING[SKU]=$A35)*
(PRICING[Set]=1)*
(PRICING[Rebate $]&lt;&gt;0)*
(PRICING[Rebate $]&lt;&gt;"")
)
),
0
)</f>
        <v>1</v>
      </c>
      <c r="G35" s="2" cm="1">
        <f t="array" ref="G35">IFERROR(
MIN(
_xlfn._xlws.FILTER(
--_xlfn.TEXTBEFORE(
SUBSTITUTE(
SUBSTITUTE(PRICING[Min Qty],"+"," "),
"-"," "
),
" "
),
(PRICING[SKU]=$A35)*
(PRICING[Set]=2)*
(PRICING[Rebate $]&lt;&gt;0)*
(PRICING[Rebate $]&lt;&gt;"")
)
),
0
)</f>
        <v>0</v>
      </c>
      <c r="H35" s="2" cm="1">
        <f t="array" ref="H35">IFERROR(
MIN(
_xlfn._xlws.FILTER(
--_xlfn.TEXTBEFORE(
SUBSTITUTE(
SUBSTITUTE(PRICING[Min Qty],"+"," "),
"-"," "
),
" "
),
(PRICING[SKU]=$A35)*
(PRICING[Set]=3)*
(PRICING[Rebate $]&lt;&gt;0)*
(PRICING[Rebate $]&lt;&gt;"")
)
),
0
)</f>
        <v>0</v>
      </c>
      <c r="I35" s="2" cm="1">
        <f t="array" ref="I35">IFERROR(
MIN(
_xlfn._xlws.FILTER(
--_xlfn.TEXTBEFORE(
SUBSTITUTE(
SUBSTITUTE(PRICING[Min Qty],"+"," "),
"-"," "
),
" "
),
(PRICING[SKU]=$A35)*
(PRICING[Set]=4)*
(PRICING[Rebate $]&lt;&gt;0)*
(PRICING[Rebate $]&lt;&gt;"")
)
),
0
)</f>
        <v>0</v>
      </c>
      <c r="J35" s="2" cm="1">
        <f t="array" ref="J35">SUM(
    SUMIFS(
        PRICING[Rebate $],
        PRICING[Program],
        {"EOP/ORN","ORN","EOP","NOW","LL/NOW","LL/SLP/NOW","LL/SLP/EOP"},
        PRICING[SKU],
        Rebate_Lookup[[#This Row],[SKU CODE]],
        PRICING[Set],
        1
    )
)</f>
        <v>101</v>
      </c>
      <c r="K35" s="2" cm="1">
        <f t="array" ref="K35">SUM(
    SUMIFS(
        PRICING[Rebate $],
        PRICING[Program],
        {"EOP/ORN","ORN","EOP","NOW","LL/NOW","LL/SLP/NOW","LL/SLP/EOP"},
        PRICING[SKU],
        Rebate_Lookup[[#This Row],[SKU CODE]],
        PRICING[Set],
        2
    )
)</f>
        <v>0</v>
      </c>
      <c r="L35" s="2" cm="1">
        <f t="array" ref="L35">SUM(
    SUMIFS(
        PRICING[Rebate $],
        PRICING[Program],
        {"EOP/ORN","ORN","EOP","NOW","LL/NOW","LL/SLP/NOW","LL/SLP/EOP"},
        PRICING[SKU],
        Rebate_Lookup[[#This Row],[SKU CODE]],
        PRICING[Set],
        3
    )
)</f>
        <v>0</v>
      </c>
      <c r="M35" s="2" cm="1">
        <f t="array" ref="M35">SUM(
    SUMIFS(
        PRICING[Rebate $],
        PRICING[Program],
        {"EOP/ORN","ORN","EOP","NOW","LL/NOW","LL/SLP/NOW","LL/SLP/EOP"},
        PRICING[SKU],
        Rebate_Lookup[[#This Row],[SKU CODE]],
        PRICING[Set],
        4
    )
)</f>
        <v>0</v>
      </c>
      <c r="N35" s="2">
        <f>INDEX(Estimates!H:H,MATCH(Rebate_Lookup[[#This Row],[SKU CODE]],Estimates!A:A,0))</f>
        <v>0</v>
      </c>
      <c r="O35" s="2"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35" s="2">
        <f>COUNTIF(Estimates!A:A,Rebate_Lookup[[#This Row],[SKU CODE]])</f>
        <v>1</v>
      </c>
      <c r="Q35" s="3" t="b">
        <f>IFERROR(Rebate_Lookup[[#This Row],[Order Form Quantity]]&gt;=Rebate_Lookup[[#This Row],[MOQ_2]],0)</f>
        <v>1</v>
      </c>
    </row>
    <row r="36" spans="1:17" x14ac:dyDescent="0.2">
      <c r="A36" s="186" t="s">
        <v>53</v>
      </c>
      <c r="B36" s="2" t="str">
        <f>INDEX(PRICING[Agency/TT],MATCH(Rebate_Lookup[[#This Row],[SKU CODE]],PRICING[SKU],0))</f>
        <v>A</v>
      </c>
      <c r="C36" s="2" t="str">
        <f>INDEX(PRICING[Product],MATCH(Rebate_Lookup[[#This Row],[SKU CODE]],PRICING[SKU],0))</f>
        <v xml:space="preserve">Specticle® FLO </v>
      </c>
      <c r="D36" s="2" t="str">
        <f>INDEX(PRICING[Size],MATCH(Rebate_Lookup[[#This Row],[SKU CODE]],PRICING[SKU],0))</f>
        <v>1 gal</v>
      </c>
      <c r="E36" s="2" cm="1">
        <f t="array" ref="E36">SUM(COUNTIFS(
    PRICING[Program],{"EOP/ORN","ORN","EOP","NOW","LL/NOW","LL/SLP/NOW","LL/SLP/EOP"},
    PRICING[SKU],A36
))</f>
        <v>1</v>
      </c>
      <c r="F36" s="2" cm="1">
        <f t="array" ref="F36">IFERROR(
MIN(
_xlfn._xlws.FILTER(
--_xlfn.TEXTBEFORE(
SUBSTITUTE(
SUBSTITUTE(PRICING[Min Qty],"+"," "),
"-"," "
),
" "
),
(PRICING[SKU]=$A36)*
(PRICING[Set]=1)*
(PRICING[Rebate $]&lt;&gt;0)*
(PRICING[Rebate $]&lt;&gt;"")
)
),
0
)</f>
        <v>7</v>
      </c>
      <c r="G36" s="2" cm="1">
        <f t="array" ref="G36">IFERROR(
MIN(
_xlfn._xlws.FILTER(
--_xlfn.TEXTBEFORE(
SUBSTITUTE(
SUBSTITUTE(PRICING[Min Qty],"+"," "),
"-"," "
),
" "
),
(PRICING[SKU]=$A36)*
(PRICING[Set]=2)*
(PRICING[Rebate $]&lt;&gt;0)*
(PRICING[Rebate $]&lt;&gt;"")
)
),
0
)</f>
        <v>0</v>
      </c>
      <c r="H36" s="2" cm="1">
        <f t="array" ref="H36">IFERROR(
MIN(
_xlfn._xlws.FILTER(
--_xlfn.TEXTBEFORE(
SUBSTITUTE(
SUBSTITUTE(PRICING[Min Qty],"+"," "),
"-"," "
),
" "
),
(PRICING[SKU]=$A36)*
(PRICING[Set]=3)*
(PRICING[Rebate $]&lt;&gt;0)*
(PRICING[Rebate $]&lt;&gt;"")
)
),
0
)</f>
        <v>0</v>
      </c>
      <c r="I36" s="2" cm="1">
        <f t="array" ref="I36">IFERROR(
MIN(
_xlfn._xlws.FILTER(
--_xlfn.TEXTBEFORE(
SUBSTITUTE(
SUBSTITUTE(PRICING[Min Qty],"+"," "),
"-"," "
),
" "
),
(PRICING[SKU]=$A36)*
(PRICING[Set]=4)*
(PRICING[Rebate $]&lt;&gt;0)*
(PRICING[Rebate $]&lt;&gt;"")
)
),
0
)</f>
        <v>0</v>
      </c>
      <c r="J36" s="2" cm="1">
        <f t="array" ref="J36">SUM(
    SUMIFS(
        PRICING[Rebate $],
        PRICING[Program],
        {"EOP/ORN","ORN","EOP","NOW","LL/NOW","LL/SLP/NOW","LL/SLP/EOP"},
        PRICING[SKU],
        Rebate_Lookup[[#This Row],[SKU CODE]],
        PRICING[Set],
        1
    )
)</f>
        <v>115</v>
      </c>
      <c r="K36" s="2" cm="1">
        <f t="array" ref="K36">SUM(
    SUMIFS(
        PRICING[Rebate $],
        PRICING[Program],
        {"EOP/ORN","ORN","EOP","NOW","LL/NOW","LL/SLP/NOW","LL/SLP/EOP"},
        PRICING[SKU],
        Rebate_Lookup[[#This Row],[SKU CODE]],
        PRICING[Set],
        2
    )
)</f>
        <v>0</v>
      </c>
      <c r="L36" s="2" cm="1">
        <f t="array" ref="L36">SUM(
    SUMIFS(
        PRICING[Rebate $],
        PRICING[Program],
        {"EOP/ORN","ORN","EOP","NOW","LL/NOW","LL/SLP/NOW","LL/SLP/EOP"},
        PRICING[SKU],
        Rebate_Lookup[[#This Row],[SKU CODE]],
        PRICING[Set],
        3
    )
)</f>
        <v>0</v>
      </c>
      <c r="M36" s="2" cm="1">
        <f t="array" ref="M36">SUM(
    SUMIFS(
        PRICING[Rebate $],
        PRICING[Program],
        {"EOP/ORN","ORN","EOP","NOW","LL/NOW","LL/SLP/NOW","LL/SLP/EOP"},
        PRICING[SKU],
        Rebate_Lookup[[#This Row],[SKU CODE]],
        PRICING[Set],
        4
    )
)</f>
        <v>0</v>
      </c>
      <c r="N36" s="2">
        <f>INDEX(Estimates!H:H,MATCH(Rebate_Lookup[[#This Row],[SKU CODE]],Estimates!A:A,0))</f>
        <v>0</v>
      </c>
      <c r="O36" s="2"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36" s="2">
        <f>COUNTIF(Estimates!A:A,Rebate_Lookup[[#This Row],[SKU CODE]])</f>
        <v>1</v>
      </c>
      <c r="Q36" s="3" t="b">
        <f>IFERROR(Rebate_Lookup[[#This Row],[Order Form Quantity]]&gt;=Rebate_Lookup[[#This Row],[MOQ_2]],0)</f>
        <v>1</v>
      </c>
    </row>
    <row r="37" spans="1:17" x14ac:dyDescent="0.2">
      <c r="A37" s="186" t="s">
        <v>54</v>
      </c>
      <c r="B37" s="2" t="str">
        <f>INDEX(PRICING[Agency/TT],MATCH(Rebate_Lookup[[#This Row],[SKU CODE]],PRICING[SKU],0))</f>
        <v>A</v>
      </c>
      <c r="C37" s="2" t="str">
        <f>INDEX(PRICING[Product],MATCH(Rebate_Lookup[[#This Row],[SKU CODE]],PRICING[SKU],0))</f>
        <v xml:space="preserve">Specticle® FLO </v>
      </c>
      <c r="D37" s="2" t="str">
        <f>INDEX(PRICING[Size],MATCH(Rebate_Lookup[[#This Row],[SKU CODE]],PRICING[SKU],0))</f>
        <v>1 gal</v>
      </c>
      <c r="E37" s="2" cm="1">
        <f t="array" ref="E37">SUM(COUNTIFS(
    PRICING[Program],{"EOP/ORN","ORN","EOP","NOW","LL/NOW","LL/SLP/NOW","LL/SLP/EOP"},
    PRICING[SKU],A37
))</f>
        <v>1</v>
      </c>
      <c r="F37" s="2" cm="1">
        <f t="array" ref="F37">IFERROR(
MIN(
_xlfn._xlws.FILTER(
--_xlfn.TEXTBEFORE(
SUBSTITUTE(
SUBSTITUTE(PRICING[Min Qty],"+"," "),
"-"," "
),
" "
),
(PRICING[SKU]=$A37)*
(PRICING[Set]=1)*
(PRICING[Rebate $]&lt;&gt;0)*
(PRICING[Rebate $]&lt;&gt;"")
)
),
0
)</f>
        <v>14</v>
      </c>
      <c r="G37" s="2" cm="1">
        <f t="array" ref="G37">IFERROR(
MIN(
_xlfn._xlws.FILTER(
--_xlfn.TEXTBEFORE(
SUBSTITUTE(
SUBSTITUTE(PRICING[Min Qty],"+"," "),
"-"," "
),
" "
),
(PRICING[SKU]=$A37)*
(PRICING[Set]=2)*
(PRICING[Rebate $]&lt;&gt;0)*
(PRICING[Rebate $]&lt;&gt;"")
)
),
0
)</f>
        <v>0</v>
      </c>
      <c r="H37" s="2" cm="1">
        <f t="array" ref="H37">IFERROR(
MIN(
_xlfn._xlws.FILTER(
--_xlfn.TEXTBEFORE(
SUBSTITUTE(
SUBSTITUTE(PRICING[Min Qty],"+"," "),
"-"," "
),
" "
),
(PRICING[SKU]=$A37)*
(PRICING[Set]=3)*
(PRICING[Rebate $]&lt;&gt;0)*
(PRICING[Rebate $]&lt;&gt;"")
)
),
0
)</f>
        <v>0</v>
      </c>
      <c r="I37" s="2" cm="1">
        <f t="array" ref="I37">IFERROR(
MIN(
_xlfn._xlws.FILTER(
--_xlfn.TEXTBEFORE(
SUBSTITUTE(
SUBSTITUTE(PRICING[Min Qty],"+"," "),
"-"," "
),
" "
),
(PRICING[SKU]=$A37)*
(PRICING[Set]=4)*
(PRICING[Rebate $]&lt;&gt;0)*
(PRICING[Rebate $]&lt;&gt;"")
)
),
0
)</f>
        <v>0</v>
      </c>
      <c r="J37" s="2" cm="1">
        <f t="array" ref="J37">SUM(
    SUMIFS(
        PRICING[Rebate $],
        PRICING[Program],
        {"EOP/ORN","ORN","EOP","NOW","LL/NOW","LL/SLP/NOW","LL/SLP/EOP"},
        PRICING[SKU],
        Rebate_Lookup[[#This Row],[SKU CODE]],
        PRICING[Set],
        1
    )
)</f>
        <v>128</v>
      </c>
      <c r="K37" s="2" cm="1">
        <f t="array" ref="K37">SUM(
    SUMIFS(
        PRICING[Rebate $],
        PRICING[Program],
        {"EOP/ORN","ORN","EOP","NOW","LL/NOW","LL/SLP/NOW","LL/SLP/EOP"},
        PRICING[SKU],
        Rebate_Lookup[[#This Row],[SKU CODE]],
        PRICING[Set],
        2
    )
)</f>
        <v>0</v>
      </c>
      <c r="L37" s="2" cm="1">
        <f t="array" ref="L37">SUM(
    SUMIFS(
        PRICING[Rebate $],
        PRICING[Program],
        {"EOP/ORN","ORN","EOP","NOW","LL/NOW","LL/SLP/NOW","LL/SLP/EOP"},
        PRICING[SKU],
        Rebate_Lookup[[#This Row],[SKU CODE]],
        PRICING[Set],
        3
    )
)</f>
        <v>0</v>
      </c>
      <c r="M37" s="2" cm="1">
        <f t="array" ref="M37">SUM(
    SUMIFS(
        PRICING[Rebate $],
        PRICING[Program],
        {"EOP/ORN","ORN","EOP","NOW","LL/NOW","LL/SLP/NOW","LL/SLP/EOP"},
        PRICING[SKU],
        Rebate_Lookup[[#This Row],[SKU CODE]],
        PRICING[Set],
        4
    )
)</f>
        <v>0</v>
      </c>
      <c r="N37" s="2">
        <f>INDEX(Estimates!H:H,MATCH(Rebate_Lookup[[#This Row],[SKU CODE]],Estimates!A:A,0))</f>
        <v>0</v>
      </c>
      <c r="O37" s="2"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37" s="2">
        <f>COUNTIF(Estimates!A:A,Rebate_Lookup[[#This Row],[SKU CODE]])</f>
        <v>1</v>
      </c>
      <c r="Q37" s="3" t="b">
        <f>IFERROR(Rebate_Lookup[[#This Row],[Order Form Quantity]]&gt;=Rebate_Lookup[[#This Row],[MOQ_2]],0)</f>
        <v>1</v>
      </c>
    </row>
    <row r="38" spans="1:17" x14ac:dyDescent="0.2">
      <c r="A38" s="186" t="s">
        <v>55</v>
      </c>
      <c r="B38" s="2" t="str">
        <f>INDEX(PRICING[Agency/TT],MATCH(Rebate_Lookup[[#This Row],[SKU CODE]],PRICING[SKU],0))</f>
        <v>A</v>
      </c>
      <c r="C38" s="2" t="str">
        <f>INDEX(PRICING[Product],MATCH(Rebate_Lookup[[#This Row],[SKU CODE]],PRICING[SKU],0))</f>
        <v xml:space="preserve">Specticle® FLO </v>
      </c>
      <c r="D38" s="2" t="str">
        <f>INDEX(PRICING[Size],MATCH(Rebate_Lookup[[#This Row],[SKU CODE]],PRICING[SKU],0))</f>
        <v>1 gal</v>
      </c>
      <c r="E38" s="2" cm="1">
        <f t="array" ref="E38">SUM(COUNTIFS(
    PRICING[Program],{"EOP/ORN","ORN","EOP","NOW","LL/NOW","LL/SLP/NOW","LL/SLP/EOP"},
    PRICING[SKU],A38
))</f>
        <v>1</v>
      </c>
      <c r="F38" s="2" cm="1">
        <f t="array" ref="F38">IFERROR(
MIN(
_xlfn._xlws.FILTER(
--_xlfn.TEXTBEFORE(
SUBSTITUTE(
SUBSTITUTE(PRICING[Min Qty],"+"," "),
"-"," "
),
" "
),
(PRICING[SKU]=$A38)*
(PRICING[Set]=1)*
(PRICING[Rebate $]&lt;&gt;0)*
(PRICING[Rebate $]&lt;&gt;"")
)
),
0
)</f>
        <v>26</v>
      </c>
      <c r="G38" s="2" cm="1">
        <f t="array" ref="G38">IFERROR(
MIN(
_xlfn._xlws.FILTER(
--_xlfn.TEXTBEFORE(
SUBSTITUTE(
SUBSTITUTE(PRICING[Min Qty],"+"," "),
"-"," "
),
" "
),
(PRICING[SKU]=$A38)*
(PRICING[Set]=2)*
(PRICING[Rebate $]&lt;&gt;0)*
(PRICING[Rebate $]&lt;&gt;"")
)
),
0
)</f>
        <v>0</v>
      </c>
      <c r="H38" s="2" cm="1">
        <f t="array" ref="H38">IFERROR(
MIN(
_xlfn._xlws.FILTER(
--_xlfn.TEXTBEFORE(
SUBSTITUTE(
SUBSTITUTE(PRICING[Min Qty],"+"," "),
"-"," "
),
" "
),
(PRICING[SKU]=$A38)*
(PRICING[Set]=3)*
(PRICING[Rebate $]&lt;&gt;0)*
(PRICING[Rebate $]&lt;&gt;"")
)
),
0
)</f>
        <v>0</v>
      </c>
      <c r="I38" s="2" cm="1">
        <f t="array" ref="I38">IFERROR(
MIN(
_xlfn._xlws.FILTER(
--_xlfn.TEXTBEFORE(
SUBSTITUTE(
SUBSTITUTE(PRICING[Min Qty],"+"," "),
"-"," "
),
" "
),
(PRICING[SKU]=$A38)*
(PRICING[Set]=4)*
(PRICING[Rebate $]&lt;&gt;0)*
(PRICING[Rebate $]&lt;&gt;"")
)
),
0
)</f>
        <v>0</v>
      </c>
      <c r="J38" s="2" cm="1">
        <f t="array" ref="J38">SUM(
    SUMIFS(
        PRICING[Rebate $],
        PRICING[Program],
        {"EOP/ORN","ORN","EOP","NOW","LL/NOW","LL/SLP/NOW","LL/SLP/EOP"},
        PRICING[SKU],
        Rebate_Lookup[[#This Row],[SKU CODE]],
        PRICING[Set],
        1
    )
)</f>
        <v>328</v>
      </c>
      <c r="K38" s="2" cm="1">
        <f t="array" ref="K38">SUM(
    SUMIFS(
        PRICING[Rebate $],
        PRICING[Program],
        {"EOP/ORN","ORN","EOP","NOW","LL/NOW","LL/SLP/NOW","LL/SLP/EOP"},
        PRICING[SKU],
        Rebate_Lookup[[#This Row],[SKU CODE]],
        PRICING[Set],
        2
    )
)</f>
        <v>0</v>
      </c>
      <c r="L38" s="2" cm="1">
        <f t="array" ref="L38">SUM(
    SUMIFS(
        PRICING[Rebate $],
        PRICING[Program],
        {"EOP/ORN","ORN","EOP","NOW","LL/NOW","LL/SLP/NOW","LL/SLP/EOP"},
        PRICING[SKU],
        Rebate_Lookup[[#This Row],[SKU CODE]],
        PRICING[Set],
        3
    )
)</f>
        <v>0</v>
      </c>
      <c r="M38" s="2" cm="1">
        <f t="array" ref="M38">SUM(
    SUMIFS(
        PRICING[Rebate $],
        PRICING[Program],
        {"EOP/ORN","ORN","EOP","NOW","LL/NOW","LL/SLP/NOW","LL/SLP/EOP"},
        PRICING[SKU],
        Rebate_Lookup[[#This Row],[SKU CODE]],
        PRICING[Set],
        4
    )
)</f>
        <v>0</v>
      </c>
      <c r="N38" s="2">
        <f>INDEX(Estimates!H:H,MATCH(Rebate_Lookup[[#This Row],[SKU CODE]],Estimates!A:A,0))</f>
        <v>0</v>
      </c>
      <c r="O38" s="2"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38" s="2">
        <f>COUNTIF(Estimates!A:A,Rebate_Lookup[[#This Row],[SKU CODE]])</f>
        <v>1</v>
      </c>
      <c r="Q38" s="3" t="b">
        <f>IFERROR(Rebate_Lookup[[#This Row],[Order Form Quantity]]&gt;=Rebate_Lookup[[#This Row],[MOQ_2]],0)</f>
        <v>1</v>
      </c>
    </row>
    <row r="39" spans="1:17" x14ac:dyDescent="0.2">
      <c r="A39" s="186" t="s">
        <v>56</v>
      </c>
      <c r="B39" s="2" t="str">
        <f>INDEX(PRICING[Agency/TT],MATCH(Rebate_Lookup[[#This Row],[SKU CODE]],PRICING[SKU],0))</f>
        <v>A</v>
      </c>
      <c r="C39" s="2" t="str">
        <f>INDEX(PRICING[Product],MATCH(Rebate_Lookup[[#This Row],[SKU CODE]],PRICING[SKU],0))</f>
        <v>Specticle® G</v>
      </c>
      <c r="D39" s="2" t="str">
        <f>INDEX(PRICING[Size],MATCH(Rebate_Lookup[[#This Row],[SKU CODE]],PRICING[SKU],0))</f>
        <v>50 lb</v>
      </c>
      <c r="E39" s="2" cm="1">
        <f t="array" ref="E39">SUM(COUNTIFS(
    PRICING[Program],{"EOP/ORN","ORN","EOP","NOW","LL/NOW","LL/SLP/NOW","LL/SLP/EOP"},
    PRICING[SKU],A39
))</f>
        <v>2</v>
      </c>
      <c r="F39" s="2" cm="1">
        <f t="array" ref="F39">IFERROR(
MIN(
_xlfn._xlws.FILTER(
--_xlfn.TEXTBEFORE(
SUBSTITUTE(
SUBSTITUTE(PRICING[Min Qty],"+"," "),
"-"," "
),
" "
),
(PRICING[SKU]=$A39)*
(PRICING[Set]=1)*
(PRICING[Rebate $]&lt;&gt;0)*
(PRICING[Rebate $]&lt;&gt;"")
)
),
0
)</f>
        <v>0</v>
      </c>
      <c r="G39" s="2" cm="1">
        <f t="array" ref="G39">IFERROR(
MIN(
_xlfn._xlws.FILTER(
--_xlfn.TEXTBEFORE(
SUBSTITUTE(
SUBSTITUTE(PRICING[Min Qty],"+"," "),
"-"," "
),
" "
),
(PRICING[SKU]=$A39)*
(PRICING[Set]=2)*
(PRICING[Rebate $]&lt;&gt;0)*
(PRICING[Rebate $]&lt;&gt;"")
)
),
0
)</f>
        <v>40</v>
      </c>
      <c r="H39" s="2" cm="1">
        <f t="array" ref="H39">IFERROR(
MIN(
_xlfn._xlws.FILTER(
--_xlfn.TEXTBEFORE(
SUBSTITUTE(
SUBSTITUTE(PRICING[Min Qty],"+"," "),
"-"," "
),
" "
),
(PRICING[SKU]=$A39)*
(PRICING[Set]=3)*
(PRICING[Rebate $]&lt;&gt;0)*
(PRICING[Rebate $]&lt;&gt;"")
)
),
0
)</f>
        <v>0</v>
      </c>
      <c r="I39" s="2" cm="1">
        <f t="array" ref="I39">IFERROR(
MIN(
_xlfn._xlws.FILTER(
--_xlfn.TEXTBEFORE(
SUBSTITUTE(
SUBSTITUTE(PRICING[Min Qty],"+"," "),
"-"," "
),
" "
),
(PRICING[SKU]=$A39)*
(PRICING[Set]=4)*
(PRICING[Rebate $]&lt;&gt;0)*
(PRICING[Rebate $]&lt;&gt;"")
)
),
0
)</f>
        <v>0</v>
      </c>
      <c r="J39" s="2" cm="1">
        <f t="array" ref="J39">SUM(
    SUMIFS(
        PRICING[Rebate $],
        PRICING[Program],
        {"EOP/ORN","ORN","EOP","NOW","LL/NOW","LL/SLP/NOW","LL/SLP/EOP"},
        PRICING[SKU],
        Rebate_Lookup[[#This Row],[SKU CODE]],
        PRICING[Set],
        1
    )
)</f>
        <v>0</v>
      </c>
      <c r="K39" s="2" cm="1">
        <f t="array" ref="K39">SUM(
    SUMIFS(
        PRICING[Rebate $],
        PRICING[Program],
        {"EOP/ORN","ORN","EOP","NOW","LL/NOW","LL/SLP/NOW","LL/SLP/EOP"},
        PRICING[SKU],
        Rebate_Lookup[[#This Row],[SKU CODE]],
        PRICING[Set],
        2
    )
)</f>
        <v>20</v>
      </c>
      <c r="L39" s="2" cm="1">
        <f t="array" ref="L39">SUM(
    SUMIFS(
        PRICING[Rebate $],
        PRICING[Program],
        {"EOP/ORN","ORN","EOP","NOW","LL/NOW","LL/SLP/NOW","LL/SLP/EOP"},
        PRICING[SKU],
        Rebate_Lookup[[#This Row],[SKU CODE]],
        PRICING[Set],
        3
    )
)</f>
        <v>0</v>
      </c>
      <c r="M39" s="2" cm="1">
        <f t="array" ref="M39">SUM(
    SUMIFS(
        PRICING[Rebate $],
        PRICING[Program],
        {"EOP/ORN","ORN","EOP","NOW","LL/NOW","LL/SLP/NOW","LL/SLP/EOP"},
        PRICING[SKU],
        Rebate_Lookup[[#This Row],[SKU CODE]],
        PRICING[Set],
        4
    )
)</f>
        <v>0</v>
      </c>
      <c r="N39" s="2">
        <f>INDEX(Estimates!H:H,MATCH(Rebate_Lookup[[#This Row],[SKU CODE]],Estimates!A:A,0))</f>
        <v>0</v>
      </c>
      <c r="O39"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39" s="2">
        <f>COUNTIF(Estimates!A:A,Rebate_Lookup[[#This Row],[SKU CODE]])</f>
        <v>1</v>
      </c>
      <c r="Q39" s="3" t="b">
        <f>IFERROR(Rebate_Lookup[[#This Row],[Order Form Quantity]]&gt;=Rebate_Lookup[[#This Row],[MOQ_2]],0)</f>
        <v>0</v>
      </c>
    </row>
    <row r="40" spans="1:17" x14ac:dyDescent="0.2">
      <c r="A40" s="186" t="s">
        <v>75</v>
      </c>
      <c r="B40" s="2" t="str">
        <f>INDEX(PRICING[Agency/TT],MATCH(Rebate_Lookup[[#This Row],[SKU CODE]],PRICING[SKU],0))</f>
        <v>TT</v>
      </c>
      <c r="C40" s="2" t="str">
        <f>INDEX(PRICING[Product],MATCH(Rebate_Lookup[[#This Row],[SKU CODE]],PRICING[SKU],0))</f>
        <v>Terradex®  Power Premix</v>
      </c>
      <c r="D40" s="2" t="str">
        <f>INDEX(PRICING[Size],MATCH(Rebate_Lookup[[#This Row],[SKU CODE]],PRICING[SKU],0))</f>
        <v>2.5 gal</v>
      </c>
      <c r="E40" s="2" cm="1">
        <f t="array" ref="E40">SUM(COUNTIFS(
    PRICING[Program],{"EOP/ORN","ORN","EOP","NOW","LL/NOW","LL/SLP/NOW","LL/SLP/EOP"},
    PRICING[SKU],A40
))</f>
        <v>1</v>
      </c>
      <c r="F40" s="2" cm="1">
        <f t="array" ref="F40">IFERROR(
MIN(
_xlfn._xlws.FILTER(
--_xlfn.TEXTBEFORE(
SUBSTITUTE(
SUBSTITUTE(PRICING[Min Qty],"+"," "),
"-"," "
),
" "
),
(PRICING[SKU]=$A40)*
(PRICING[Set]=1)*
(PRICING[Rebate $]&lt;&gt;0)*
(PRICING[Rebate $]&lt;&gt;"")
)
),
0
)</f>
        <v>150</v>
      </c>
      <c r="G40" s="2" cm="1">
        <f t="array" ref="G40">IFERROR(
MIN(
_xlfn._xlws.FILTER(
--_xlfn.TEXTBEFORE(
SUBSTITUTE(
SUBSTITUTE(PRICING[Min Qty],"+"," "),
"-"," "
),
" "
),
(PRICING[SKU]=$A40)*
(PRICING[Set]=2)*
(PRICING[Rebate $]&lt;&gt;0)*
(PRICING[Rebate $]&lt;&gt;"")
)
),
0
)</f>
        <v>0</v>
      </c>
      <c r="H40" s="2" cm="1">
        <f t="array" ref="H40">IFERROR(
MIN(
_xlfn._xlws.FILTER(
--_xlfn.TEXTBEFORE(
SUBSTITUTE(
SUBSTITUTE(PRICING[Min Qty],"+"," "),
"-"," "
),
" "
),
(PRICING[SKU]=$A40)*
(PRICING[Set]=3)*
(PRICING[Rebate $]&lt;&gt;0)*
(PRICING[Rebate $]&lt;&gt;"")
)
),
0
)</f>
        <v>0</v>
      </c>
      <c r="I40" s="2" cm="1">
        <f t="array" ref="I40">IFERROR(
MIN(
_xlfn._xlws.FILTER(
--_xlfn.TEXTBEFORE(
SUBSTITUTE(
SUBSTITUTE(PRICING[Min Qty],"+"," "),
"-"," "
),
" "
),
(PRICING[SKU]=$A40)*
(PRICING[Set]=4)*
(PRICING[Rebate $]&lt;&gt;0)*
(PRICING[Rebate $]&lt;&gt;"")
)
),
0
)</f>
        <v>0</v>
      </c>
      <c r="J40" s="2" cm="1">
        <f t="array" ref="J40">SUM(
    SUMIFS(
        PRICING[Rebate $],
        PRICING[Program],
        {"EOP/ORN","ORN","EOP","NOW","LL/NOW","LL/SLP/NOW","LL/SLP/EOP"},
        PRICING[SKU],
        Rebate_Lookup[[#This Row],[SKU CODE]],
        PRICING[Set],
        1
    )
)</f>
        <v>31</v>
      </c>
      <c r="K40" s="2" cm="1">
        <f t="array" ref="K40">SUM(
    SUMIFS(
        PRICING[Rebate $],
        PRICING[Program],
        {"EOP/ORN","ORN","EOP","NOW","LL/NOW","LL/SLP/NOW","LL/SLP/EOP"},
        PRICING[SKU],
        Rebate_Lookup[[#This Row],[SKU CODE]],
        PRICING[Set],
        2
    )
)</f>
        <v>0</v>
      </c>
      <c r="L40" s="2" cm="1">
        <f t="array" ref="L40">SUM(
    SUMIFS(
        PRICING[Rebate $],
        PRICING[Program],
        {"EOP/ORN","ORN","EOP","NOW","LL/NOW","LL/SLP/NOW","LL/SLP/EOP"},
        PRICING[SKU],
        Rebate_Lookup[[#This Row],[SKU CODE]],
        PRICING[Set],
        3
    )
)</f>
        <v>0</v>
      </c>
      <c r="M40" s="2" cm="1">
        <f t="array" ref="M40">SUM(
    SUMIFS(
        PRICING[Rebate $],
        PRICING[Program],
        {"EOP/ORN","ORN","EOP","NOW","LL/NOW","LL/SLP/NOW","LL/SLP/EOP"},
        PRICING[SKU],
        Rebate_Lookup[[#This Row],[SKU CODE]],
        PRICING[Set],
        4
    )
)</f>
        <v>0</v>
      </c>
      <c r="N40" s="2">
        <f>INDEX(Estimates!H:H,MATCH(Rebate_Lookup[[#This Row],[SKU CODE]],Estimates!A:A,0))</f>
        <v>0</v>
      </c>
      <c r="O40" s="2"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40" s="2">
        <f>COUNTIF(Estimates!A:A,Rebate_Lookup[[#This Row],[SKU CODE]])</f>
        <v>1</v>
      </c>
      <c r="Q40" s="3" t="b">
        <f>IFERROR(Rebate_Lookup[[#This Row],[Order Form Quantity]]&gt;=Rebate_Lookup[[#This Row],[MOQ_2]],0)</f>
        <v>1</v>
      </c>
    </row>
    <row r="41" spans="1:17" x14ac:dyDescent="0.2">
      <c r="A41" s="186" t="s">
        <v>76</v>
      </c>
      <c r="B41" s="2" t="str">
        <f>INDEX(PRICING[Agency/TT],MATCH(Rebate_Lookup[[#This Row],[SKU CODE]],PRICING[SKU],0))</f>
        <v>TT</v>
      </c>
      <c r="C41" s="2" t="str">
        <f>INDEX(PRICING[Product],MATCH(Rebate_Lookup[[#This Row],[SKU CODE]],PRICING[SKU],0))</f>
        <v>Terradex®  Power Premix</v>
      </c>
      <c r="D41" s="2" t="str">
        <f>INDEX(PRICING[Size],MATCH(Rebate_Lookup[[#This Row],[SKU CODE]],PRICING[SKU],0))</f>
        <v>30 gal</v>
      </c>
      <c r="E41" s="2" cm="1">
        <f t="array" ref="E41">SUM(COUNTIFS(
    PRICING[Program],{"EOP/ORN","ORN","EOP","NOW","LL/NOW","LL/SLP/NOW","LL/SLP/EOP"},
    PRICING[SKU],A41
))</f>
        <v>1</v>
      </c>
      <c r="F41" s="2" cm="1">
        <f t="array" ref="F41">IFERROR(
MIN(
_xlfn._xlws.FILTER(
--_xlfn.TEXTBEFORE(
SUBSTITUTE(
SUBSTITUTE(PRICING[Min Qty],"+"," "),
"-"," "
),
" "
),
(PRICING[SKU]=$A41)*
(PRICING[Set]=1)*
(PRICING[Rebate $]&lt;&gt;0)*
(PRICING[Rebate $]&lt;&gt;"")
)
),
0
)</f>
        <v>150</v>
      </c>
      <c r="G41" s="2" cm="1">
        <f t="array" ref="G41">IFERROR(
MIN(
_xlfn._xlws.FILTER(
--_xlfn.TEXTBEFORE(
SUBSTITUTE(
SUBSTITUTE(PRICING[Min Qty],"+"," "),
"-"," "
),
" "
),
(PRICING[SKU]=$A41)*
(PRICING[Set]=2)*
(PRICING[Rebate $]&lt;&gt;0)*
(PRICING[Rebate $]&lt;&gt;"")
)
),
0
)</f>
        <v>0</v>
      </c>
      <c r="H41" s="2" cm="1">
        <f t="array" ref="H41">IFERROR(
MIN(
_xlfn._xlws.FILTER(
--_xlfn.TEXTBEFORE(
SUBSTITUTE(
SUBSTITUTE(PRICING[Min Qty],"+"," "),
"-"," "
),
" "
),
(PRICING[SKU]=$A41)*
(PRICING[Set]=3)*
(PRICING[Rebate $]&lt;&gt;0)*
(PRICING[Rebate $]&lt;&gt;"")
)
),
0
)</f>
        <v>0</v>
      </c>
      <c r="I41" s="2" cm="1">
        <f t="array" ref="I41">IFERROR(
MIN(
_xlfn._xlws.FILTER(
--_xlfn.TEXTBEFORE(
SUBSTITUTE(
SUBSTITUTE(PRICING[Min Qty],"+"," "),
"-"," "
),
" "
),
(PRICING[SKU]=$A41)*
(PRICING[Set]=4)*
(PRICING[Rebate $]&lt;&gt;0)*
(PRICING[Rebate $]&lt;&gt;"")
)
),
0
)</f>
        <v>0</v>
      </c>
      <c r="J41" s="2" cm="1">
        <f t="array" ref="J41">SUM(
    SUMIFS(
        PRICING[Rebate $],
        PRICING[Program],
        {"EOP/ORN","ORN","EOP","NOW","LL/NOW","LL/SLP/NOW","LL/SLP/EOP"},
        PRICING[SKU],
        Rebate_Lookup[[#This Row],[SKU CODE]],
        PRICING[Set],
        1
    )
)</f>
        <v>390</v>
      </c>
      <c r="K41" s="2" cm="1">
        <f t="array" ref="K41">SUM(
    SUMIFS(
        PRICING[Rebate $],
        PRICING[Program],
        {"EOP/ORN","ORN","EOP","NOW","LL/NOW","LL/SLP/NOW","LL/SLP/EOP"},
        PRICING[SKU],
        Rebate_Lookup[[#This Row],[SKU CODE]],
        PRICING[Set],
        2
    )
)</f>
        <v>0</v>
      </c>
      <c r="L41" s="2" cm="1">
        <f t="array" ref="L41">SUM(
    SUMIFS(
        PRICING[Rebate $],
        PRICING[Program],
        {"EOP/ORN","ORN","EOP","NOW","LL/NOW","LL/SLP/NOW","LL/SLP/EOP"},
        PRICING[SKU],
        Rebate_Lookup[[#This Row],[SKU CODE]],
        PRICING[Set],
        3
    )
)</f>
        <v>0</v>
      </c>
      <c r="M41" s="2" cm="1">
        <f t="array" ref="M41">SUM(
    SUMIFS(
        PRICING[Rebate $],
        PRICING[Program],
        {"EOP/ORN","ORN","EOP","NOW","LL/NOW","LL/SLP/NOW","LL/SLP/EOP"},
        PRICING[SKU],
        Rebate_Lookup[[#This Row],[SKU CODE]],
        PRICING[Set],
        4
    )
)</f>
        <v>0</v>
      </c>
      <c r="N41" s="2">
        <f>INDEX(Estimates!H:H,MATCH(Rebate_Lookup[[#This Row],[SKU CODE]],Estimates!A:A,0))</f>
        <v>0</v>
      </c>
      <c r="O41" s="2"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41" s="2">
        <f>COUNTIF(Estimates!A:A,Rebate_Lookup[[#This Row],[SKU CODE]])</f>
        <v>1</v>
      </c>
      <c r="Q41" s="3" t="b">
        <f>IFERROR(Rebate_Lookup[[#This Row],[Order Form Quantity]]&gt;=Rebate_Lookup[[#This Row],[MOQ_2]],0)</f>
        <v>1</v>
      </c>
    </row>
    <row r="42" spans="1:17" x14ac:dyDescent="0.2">
      <c r="A42" s="186" t="s">
        <v>77</v>
      </c>
      <c r="B42" s="2" t="str">
        <f>INDEX(PRICING[Agency/TT],MATCH(Rebate_Lookup[[#This Row],[SKU CODE]],PRICING[SKU],0))</f>
        <v>TT</v>
      </c>
      <c r="C42" s="2" t="str">
        <f>INDEX(PRICING[Product],MATCH(Rebate_Lookup[[#This Row],[SKU CODE]],PRICING[SKU],0))</f>
        <v>Terradex®  Quick Strike</v>
      </c>
      <c r="D42" s="2" t="str">
        <f>INDEX(PRICING[Size],MATCH(Rebate_Lookup[[#This Row],[SKU CODE]],PRICING[SKU],0))</f>
        <v>1 gal</v>
      </c>
      <c r="E42" s="2" cm="1">
        <f t="array" ref="E42">SUM(COUNTIFS(
    PRICING[Program],{"EOP/ORN","ORN","EOP","NOW","LL/NOW","LL/SLP/NOW","LL/SLP/EOP"},
    PRICING[SKU],A42
))</f>
        <v>1</v>
      </c>
      <c r="F42" s="2" cm="1">
        <f t="array" ref="F42">IFERROR(
MIN(
_xlfn._xlws.FILTER(
--_xlfn.TEXTBEFORE(
SUBSTITUTE(
SUBSTITUTE(PRICING[Min Qty],"+"," "),
"-"," "
),
" "
),
(PRICING[SKU]=$A42)*
(PRICING[Set]=1)*
(PRICING[Rebate $]&lt;&gt;0)*
(PRICING[Rebate $]&lt;&gt;"")
)
),
0
)</f>
        <v>150</v>
      </c>
      <c r="G42" s="2" cm="1">
        <f t="array" ref="G42">IFERROR(
MIN(
_xlfn._xlws.FILTER(
--_xlfn.TEXTBEFORE(
SUBSTITUTE(
SUBSTITUTE(PRICING[Min Qty],"+"," "),
"-"," "
),
" "
),
(PRICING[SKU]=$A42)*
(PRICING[Set]=2)*
(PRICING[Rebate $]&lt;&gt;0)*
(PRICING[Rebate $]&lt;&gt;"")
)
),
0
)</f>
        <v>0</v>
      </c>
      <c r="H42" s="2" cm="1">
        <f t="array" ref="H42">IFERROR(
MIN(
_xlfn._xlws.FILTER(
--_xlfn.TEXTBEFORE(
SUBSTITUTE(
SUBSTITUTE(PRICING[Min Qty],"+"," "),
"-"," "
),
" "
),
(PRICING[SKU]=$A42)*
(PRICING[Set]=3)*
(PRICING[Rebate $]&lt;&gt;0)*
(PRICING[Rebate $]&lt;&gt;"")
)
),
0
)</f>
        <v>0</v>
      </c>
      <c r="I42" s="2" cm="1">
        <f t="array" ref="I42">IFERROR(
MIN(
_xlfn._xlws.FILTER(
--_xlfn.TEXTBEFORE(
SUBSTITUTE(
SUBSTITUTE(PRICING[Min Qty],"+"," "),
"-"," "
),
" "
),
(PRICING[SKU]=$A42)*
(PRICING[Set]=4)*
(PRICING[Rebate $]&lt;&gt;0)*
(PRICING[Rebate $]&lt;&gt;"")
)
),
0
)</f>
        <v>0</v>
      </c>
      <c r="J42" s="2" cm="1">
        <f t="array" ref="J42">SUM(
    SUMIFS(
        PRICING[Rebate $],
        PRICING[Program],
        {"EOP/ORN","ORN","EOP","NOW","LL/NOW","LL/SLP/NOW","LL/SLP/EOP"},
        PRICING[SKU],
        Rebate_Lookup[[#This Row],[SKU CODE]],
        PRICING[Set],
        1
    )
)</f>
        <v>13</v>
      </c>
      <c r="K42" s="2" cm="1">
        <f t="array" ref="K42">SUM(
    SUMIFS(
        PRICING[Rebate $],
        PRICING[Program],
        {"EOP/ORN","ORN","EOP","NOW","LL/NOW","LL/SLP/NOW","LL/SLP/EOP"},
        PRICING[SKU],
        Rebate_Lookup[[#This Row],[SKU CODE]],
        PRICING[Set],
        2
    )
)</f>
        <v>0</v>
      </c>
      <c r="L42" s="2" cm="1">
        <f t="array" ref="L42">SUM(
    SUMIFS(
        PRICING[Rebate $],
        PRICING[Program],
        {"EOP/ORN","ORN","EOP","NOW","LL/NOW","LL/SLP/NOW","LL/SLP/EOP"},
        PRICING[SKU],
        Rebate_Lookup[[#This Row],[SKU CODE]],
        PRICING[Set],
        3
    )
)</f>
        <v>0</v>
      </c>
      <c r="M42" s="2" cm="1">
        <f t="array" ref="M42">SUM(
    SUMIFS(
        PRICING[Rebate $],
        PRICING[Program],
        {"EOP/ORN","ORN","EOP","NOW","LL/NOW","LL/SLP/NOW","LL/SLP/EOP"},
        PRICING[SKU],
        Rebate_Lookup[[#This Row],[SKU CODE]],
        PRICING[Set],
        4
    )
)</f>
        <v>0</v>
      </c>
      <c r="N42" s="2">
        <f>INDEX(Estimates!H:H,MATCH(Rebate_Lookup[[#This Row],[SKU CODE]],Estimates!A:A,0))</f>
        <v>0</v>
      </c>
      <c r="O42" s="2"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42" s="2">
        <f>COUNTIF(Estimates!A:A,Rebate_Lookup[[#This Row],[SKU CODE]])</f>
        <v>1</v>
      </c>
      <c r="Q42" s="3" t="b">
        <f>IFERROR(Rebate_Lookup[[#This Row],[Order Form Quantity]]&gt;=Rebate_Lookup[[#This Row],[MOQ_2]],0)</f>
        <v>1</v>
      </c>
    </row>
    <row r="43" spans="1:17" x14ac:dyDescent="0.2">
      <c r="A43" s="186" t="s">
        <v>78</v>
      </c>
      <c r="B43" s="2" t="str">
        <f>INDEX(PRICING[Agency/TT],MATCH(Rebate_Lookup[[#This Row],[SKU CODE]],PRICING[SKU],0))</f>
        <v>TT</v>
      </c>
      <c r="C43" s="2" t="str">
        <f>INDEX(PRICING[Product],MATCH(Rebate_Lookup[[#This Row],[SKU CODE]],PRICING[SKU],0))</f>
        <v>Terradex®  Quick Strike</v>
      </c>
      <c r="D43" s="2" t="str">
        <f>INDEX(PRICING[Size],MATCH(Rebate_Lookup[[#This Row],[SKU CODE]],PRICING[SKU],0))</f>
        <v>2.5 gal</v>
      </c>
      <c r="E43" s="2" cm="1">
        <f t="array" ref="E43">SUM(COUNTIFS(
    PRICING[Program],{"EOP/ORN","ORN","EOP","NOW","LL/NOW","LL/SLP/NOW","LL/SLP/EOP"},
    PRICING[SKU],A43
))</f>
        <v>1</v>
      </c>
      <c r="F43" s="2" cm="1">
        <f t="array" ref="F43">IFERROR(
MIN(
_xlfn._xlws.FILTER(
--_xlfn.TEXTBEFORE(
SUBSTITUTE(
SUBSTITUTE(PRICING[Min Qty],"+"," "),
"-"," "
),
" "
),
(PRICING[SKU]=$A43)*
(PRICING[Set]=1)*
(PRICING[Rebate $]&lt;&gt;0)*
(PRICING[Rebate $]&lt;&gt;"")
)
),
0
)</f>
        <v>150</v>
      </c>
      <c r="G43" s="2" cm="1">
        <f t="array" ref="G43">IFERROR(
MIN(
_xlfn._xlws.FILTER(
--_xlfn.TEXTBEFORE(
SUBSTITUTE(
SUBSTITUTE(PRICING[Min Qty],"+"," "),
"-"," "
),
" "
),
(PRICING[SKU]=$A43)*
(PRICING[Set]=2)*
(PRICING[Rebate $]&lt;&gt;0)*
(PRICING[Rebate $]&lt;&gt;"")
)
),
0
)</f>
        <v>0</v>
      </c>
      <c r="H43" s="2" cm="1">
        <f t="array" ref="H43">IFERROR(
MIN(
_xlfn._xlws.FILTER(
--_xlfn.TEXTBEFORE(
SUBSTITUTE(
SUBSTITUTE(PRICING[Min Qty],"+"," "),
"-"," "
),
" "
),
(PRICING[SKU]=$A43)*
(PRICING[Set]=3)*
(PRICING[Rebate $]&lt;&gt;0)*
(PRICING[Rebate $]&lt;&gt;"")
)
),
0
)</f>
        <v>0</v>
      </c>
      <c r="I43" s="2" cm="1">
        <f t="array" ref="I43">IFERROR(
MIN(
_xlfn._xlws.FILTER(
--_xlfn.TEXTBEFORE(
SUBSTITUTE(
SUBSTITUTE(PRICING[Min Qty],"+"," "),
"-"," "
),
" "
),
(PRICING[SKU]=$A43)*
(PRICING[Set]=4)*
(PRICING[Rebate $]&lt;&gt;0)*
(PRICING[Rebate $]&lt;&gt;"")
)
),
0
)</f>
        <v>0</v>
      </c>
      <c r="J43" s="2" cm="1">
        <f t="array" ref="J43">SUM(
    SUMIFS(
        PRICING[Rebate $],
        PRICING[Program],
        {"EOP/ORN","ORN","EOP","NOW","LL/NOW","LL/SLP/NOW","LL/SLP/EOP"},
        PRICING[SKU],
        Rebate_Lookup[[#This Row],[SKU CODE]],
        PRICING[Set],
        1
    )
)</f>
        <v>32</v>
      </c>
      <c r="K43" s="2" cm="1">
        <f t="array" ref="K43">SUM(
    SUMIFS(
        PRICING[Rebate $],
        PRICING[Program],
        {"EOP/ORN","ORN","EOP","NOW","LL/NOW","LL/SLP/NOW","LL/SLP/EOP"},
        PRICING[SKU],
        Rebate_Lookup[[#This Row],[SKU CODE]],
        PRICING[Set],
        2
    )
)</f>
        <v>0</v>
      </c>
      <c r="L43" s="2" cm="1">
        <f t="array" ref="L43">SUM(
    SUMIFS(
        PRICING[Rebate $],
        PRICING[Program],
        {"EOP/ORN","ORN","EOP","NOW","LL/NOW","LL/SLP/NOW","LL/SLP/EOP"},
        PRICING[SKU],
        Rebate_Lookup[[#This Row],[SKU CODE]],
        PRICING[Set],
        3
    )
)</f>
        <v>0</v>
      </c>
      <c r="M43" s="2" cm="1">
        <f t="array" ref="M43">SUM(
    SUMIFS(
        PRICING[Rebate $],
        PRICING[Program],
        {"EOP/ORN","ORN","EOP","NOW","LL/NOW","LL/SLP/NOW","LL/SLP/EOP"},
        PRICING[SKU],
        Rebate_Lookup[[#This Row],[SKU CODE]],
        PRICING[Set],
        4
    )
)</f>
        <v>0</v>
      </c>
      <c r="N43" s="2">
        <f>INDEX(Estimates!H:H,MATCH(Rebate_Lookup[[#This Row],[SKU CODE]],Estimates!A:A,0))</f>
        <v>0</v>
      </c>
      <c r="O43" s="2"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43" s="2">
        <f>COUNTIF(Estimates!A:A,Rebate_Lookup[[#This Row],[SKU CODE]])</f>
        <v>1</v>
      </c>
      <c r="Q43" s="3" t="b">
        <f>IFERROR(Rebate_Lookup[[#This Row],[Order Form Quantity]]&gt;=Rebate_Lookup[[#This Row],[MOQ_2]],0)</f>
        <v>1</v>
      </c>
    </row>
    <row r="44" spans="1:17" x14ac:dyDescent="0.2">
      <c r="A44" s="186" t="s">
        <v>79</v>
      </c>
      <c r="B44" s="2" t="str">
        <f>INDEX(PRICING[Agency/TT],MATCH(Rebate_Lookup[[#This Row],[SKU CODE]],PRICING[SKU],0))</f>
        <v>TT</v>
      </c>
      <c r="C44" s="2" t="str">
        <f>INDEX(PRICING[Product],MATCH(Rebate_Lookup[[#This Row],[SKU CODE]],PRICING[SKU],0))</f>
        <v>Terradex®  Quick Strike</v>
      </c>
      <c r="D44" s="2" t="str">
        <f>INDEX(PRICING[Size],MATCH(Rebate_Lookup[[#This Row],[SKU CODE]],PRICING[SKU],0))</f>
        <v>30 gal</v>
      </c>
      <c r="E44" s="2" cm="1">
        <f t="array" ref="E44">SUM(COUNTIFS(
    PRICING[Program],{"EOP/ORN","ORN","EOP","NOW","LL/NOW","LL/SLP/NOW","LL/SLP/EOP"},
    PRICING[SKU],A44
))</f>
        <v>1</v>
      </c>
      <c r="F44" s="2" cm="1">
        <f t="array" ref="F44">IFERROR(
MIN(
_xlfn._xlws.FILTER(
--_xlfn.TEXTBEFORE(
SUBSTITUTE(
SUBSTITUTE(PRICING[Min Qty],"+"," "),
"-"," "
),
" "
),
(PRICING[SKU]=$A44)*
(PRICING[Set]=1)*
(PRICING[Rebate $]&lt;&gt;0)*
(PRICING[Rebate $]&lt;&gt;"")
)
),
0
)</f>
        <v>150</v>
      </c>
      <c r="G44" s="2" cm="1">
        <f t="array" ref="G44">IFERROR(
MIN(
_xlfn._xlws.FILTER(
--_xlfn.TEXTBEFORE(
SUBSTITUTE(
SUBSTITUTE(PRICING[Min Qty],"+"," "),
"-"," "
),
" "
),
(PRICING[SKU]=$A44)*
(PRICING[Set]=2)*
(PRICING[Rebate $]&lt;&gt;0)*
(PRICING[Rebate $]&lt;&gt;"")
)
),
0
)</f>
        <v>0</v>
      </c>
      <c r="H44" s="2" cm="1">
        <f t="array" ref="H44">IFERROR(
MIN(
_xlfn._xlws.FILTER(
--_xlfn.TEXTBEFORE(
SUBSTITUTE(
SUBSTITUTE(PRICING[Min Qty],"+"," "),
"-"," "
),
" "
),
(PRICING[SKU]=$A44)*
(PRICING[Set]=3)*
(PRICING[Rebate $]&lt;&gt;0)*
(PRICING[Rebate $]&lt;&gt;"")
)
),
0
)</f>
        <v>0</v>
      </c>
      <c r="I44" s="2" cm="1">
        <f t="array" ref="I44">IFERROR(
MIN(
_xlfn._xlws.FILTER(
--_xlfn.TEXTBEFORE(
SUBSTITUTE(
SUBSTITUTE(PRICING[Min Qty],"+"," "),
"-"," "
),
" "
),
(PRICING[SKU]=$A44)*
(PRICING[Set]=4)*
(PRICING[Rebate $]&lt;&gt;0)*
(PRICING[Rebate $]&lt;&gt;"")
)
),
0
)</f>
        <v>0</v>
      </c>
      <c r="J44" s="2" cm="1">
        <f t="array" ref="J44">SUM(
    SUMIFS(
        PRICING[Rebate $],
        PRICING[Program],
        {"EOP/ORN","ORN","EOP","NOW","LL/NOW","LL/SLP/NOW","LL/SLP/EOP"},
        PRICING[SKU],
        Rebate_Lookup[[#This Row],[SKU CODE]],
        PRICING[Set],
        1
    )
)</f>
        <v>400</v>
      </c>
      <c r="K44" s="2" cm="1">
        <f t="array" ref="K44">SUM(
    SUMIFS(
        PRICING[Rebate $],
        PRICING[Program],
        {"EOP/ORN","ORN","EOP","NOW","LL/NOW","LL/SLP/NOW","LL/SLP/EOP"},
        PRICING[SKU],
        Rebate_Lookup[[#This Row],[SKU CODE]],
        PRICING[Set],
        2
    )
)</f>
        <v>0</v>
      </c>
      <c r="L44" s="2" cm="1">
        <f t="array" ref="L44">SUM(
    SUMIFS(
        PRICING[Rebate $],
        PRICING[Program],
        {"EOP/ORN","ORN","EOP","NOW","LL/NOW","LL/SLP/NOW","LL/SLP/EOP"},
        PRICING[SKU],
        Rebate_Lookup[[#This Row],[SKU CODE]],
        PRICING[Set],
        3
    )
)</f>
        <v>0</v>
      </c>
      <c r="M44" s="2" cm="1">
        <f t="array" ref="M44">SUM(
    SUMIFS(
        PRICING[Rebate $],
        PRICING[Program],
        {"EOP/ORN","ORN","EOP","NOW","LL/NOW","LL/SLP/NOW","LL/SLP/EOP"},
        PRICING[SKU],
        Rebate_Lookup[[#This Row],[SKU CODE]],
        PRICING[Set],
        4
    )
)</f>
        <v>0</v>
      </c>
      <c r="N44" s="2">
        <f>INDEX(Estimates!H:H,MATCH(Rebate_Lookup[[#This Row],[SKU CODE]],Estimates!A:A,0))</f>
        <v>0</v>
      </c>
      <c r="O44" s="2"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44" s="2">
        <f>COUNTIF(Estimates!A:A,Rebate_Lookup[[#This Row],[SKU CODE]])</f>
        <v>1</v>
      </c>
      <c r="Q44" s="3" t="b">
        <f>IFERROR(Rebate_Lookup[[#This Row],[Order Form Quantity]]&gt;=Rebate_Lookup[[#This Row],[MOQ_2]],0)</f>
        <v>1</v>
      </c>
    </row>
    <row r="45" spans="1:17" x14ac:dyDescent="0.2">
      <c r="A45" s="188">
        <v>86797658</v>
      </c>
      <c r="B45" s="2" t="str">
        <f>INDEX(PRICING[Agency/TT],MATCH(Rebate_Lookup[[#This Row],[SKU CODE]],PRICING[SKU],0))</f>
        <v>A</v>
      </c>
      <c r="C45" s="2" t="str">
        <f>INDEX(PRICING[Product],MATCH(Rebate_Lookup[[#This Row],[SKU CODE]],PRICING[SKU],0))</f>
        <v>Tetrino®</v>
      </c>
      <c r="D45" s="2" t="str">
        <f>INDEX(PRICING[Size],MATCH(Rebate_Lookup[[#This Row],[SKU CODE]],PRICING[SKU],0))</f>
        <v> 1 gal</v>
      </c>
      <c r="E45" s="2" cm="1">
        <f t="array" ref="E45">SUM(COUNTIFS(
    PRICING[Program],{"EOP/ORN","ORN","EOP","NOW","LL/NOW","LL/SLP/NOW","LL/SLP/EOP"},
    PRICING[SKU],A45
))</f>
        <v>2</v>
      </c>
      <c r="F45" s="2" cm="1">
        <f t="array" ref="F45">IFERROR(
MIN(
_xlfn._xlws.FILTER(
--_xlfn.TEXTBEFORE(
SUBSTITUTE(
SUBSTITUTE(PRICING[Min Qty],"+"," "),
"-"," "
),
" "
),
(PRICING[SKU]=$A45)*
(PRICING[Set]=1)*
(PRICING[Rebate $]&lt;&gt;0)*
(PRICING[Rebate $]&lt;&gt;"")
)
),
0
)</f>
        <v>1</v>
      </c>
      <c r="G45" s="2" cm="1">
        <f t="array" ref="G45">IFERROR(
MIN(
_xlfn._xlws.FILTER(
--_xlfn.TEXTBEFORE(
SUBSTITUTE(
SUBSTITUTE(PRICING[Min Qty],"+"," "),
"-"," "
),
" "
),
(PRICING[SKU]=$A45)*
(PRICING[Set]=2)*
(PRICING[Rebate $]&lt;&gt;0)*
(PRICING[Rebate $]&lt;&gt;"")
)
),
0
)</f>
        <v>5</v>
      </c>
      <c r="H45" s="2" cm="1">
        <f t="array" ref="H45">IFERROR(
MIN(
_xlfn._xlws.FILTER(
--_xlfn.TEXTBEFORE(
SUBSTITUTE(
SUBSTITUTE(PRICING[Min Qty],"+"," "),
"-"," "
),
" "
),
(PRICING[SKU]=$A45)*
(PRICING[Set]=3)*
(PRICING[Rebate $]&lt;&gt;0)*
(PRICING[Rebate $]&lt;&gt;"")
)
),
0
)</f>
        <v>0</v>
      </c>
      <c r="I45" s="2" cm="1">
        <f t="array" ref="I45">IFERROR(
MIN(
_xlfn._xlws.FILTER(
--_xlfn.TEXTBEFORE(
SUBSTITUTE(
SUBSTITUTE(PRICING[Min Qty],"+"," "),
"-"," "
),
" "
),
(PRICING[SKU]=$A45)*
(PRICING[Set]=4)*
(PRICING[Rebate $]&lt;&gt;0)*
(PRICING[Rebate $]&lt;&gt;"")
)
),
0
)</f>
        <v>0</v>
      </c>
      <c r="J45" s="2" cm="1">
        <f t="array" ref="J45">SUM(
    SUMIFS(
        PRICING[Rebate $],
        PRICING[Program],
        {"EOP/ORN","ORN","EOP","NOW","LL/NOW","LL/SLP/NOW","LL/SLP/EOP"},
        PRICING[SKU],
        Rebate_Lookup[[#This Row],[SKU CODE]],
        PRICING[Set],
        1
    )
)</f>
        <v>40</v>
      </c>
      <c r="K45" s="2" cm="1">
        <f t="array" ref="K45">SUM(
    SUMIFS(
        PRICING[Rebate $],
        PRICING[Program],
        {"EOP/ORN","ORN","EOP","NOW","LL/NOW","LL/SLP/NOW","LL/SLP/EOP"},
        PRICING[SKU],
        Rebate_Lookup[[#This Row],[SKU CODE]],
        PRICING[Set],
        2
    )
)</f>
        <v>160</v>
      </c>
      <c r="L45" s="2" cm="1">
        <f t="array" ref="L45">SUM(
    SUMIFS(
        PRICING[Rebate $],
        PRICING[Program],
        {"EOP/ORN","ORN","EOP","NOW","LL/NOW","LL/SLP/NOW","LL/SLP/EOP"},
        PRICING[SKU],
        Rebate_Lookup[[#This Row],[SKU CODE]],
        PRICING[Set],
        3
    )
)</f>
        <v>0</v>
      </c>
      <c r="M45" s="2" cm="1">
        <f t="array" ref="M45">SUM(
    SUMIFS(
        PRICING[Rebate $],
        PRICING[Program],
        {"EOP/ORN","ORN","EOP","NOW","LL/NOW","LL/SLP/NOW","LL/SLP/EOP"},
        PRICING[SKU],
        Rebate_Lookup[[#This Row],[SKU CODE]],
        PRICING[Set],
        4
    )
)</f>
        <v>0</v>
      </c>
      <c r="N45" s="2">
        <f>INDEX(Estimates!H:H,MATCH(Rebate_Lookup[[#This Row],[SKU CODE]],Estimates!A:A,0))</f>
        <v>0</v>
      </c>
      <c r="O45" s="2"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45" s="2">
        <f>COUNTIF(Estimates!A:A,Rebate_Lookup[[#This Row],[SKU CODE]])</f>
        <v>1</v>
      </c>
      <c r="Q45" s="3" t="b">
        <f>IFERROR(Rebate_Lookup[[#This Row],[Order Form Quantity]]&gt;=Rebate_Lookup[[#This Row],[MOQ_2]],0)</f>
        <v>0</v>
      </c>
    </row>
    <row r="46" spans="1:17" x14ac:dyDescent="0.2">
      <c r="A46" s="189" t="s">
        <v>80</v>
      </c>
      <c r="B46" s="2" t="str">
        <f>INDEX(PRICING[Agency/TT],MATCH(Rebate_Lookup[[#This Row],[SKU CODE]],PRICING[SKU],0))</f>
        <v>TT</v>
      </c>
      <c r="C46" s="2" t="str">
        <f>INDEX(PRICING[Product],MATCH(Rebate_Lookup[[#This Row],[SKU CODE]],PRICING[SKU],0))</f>
        <v>TopChoice®</v>
      </c>
      <c r="D46" s="2" t="str">
        <f>INDEX(PRICING[Size],MATCH(Rebate_Lookup[[#This Row],[SKU CODE]],PRICING[SKU],0))</f>
        <v>50 lb</v>
      </c>
      <c r="E46" s="2" cm="1">
        <f t="array" ref="E46">SUM(COUNTIFS(
    PRICING[Program],{"EOP/ORN","ORN","EOP","NOW","LL/NOW","LL/SLP/NOW","LL/SLP/EOP"},
    PRICING[SKU],A46
))</f>
        <v>1</v>
      </c>
      <c r="F46" s="2" cm="1">
        <f t="array" ref="F46">IFERROR(
MIN(
_xlfn._xlws.FILTER(
--_xlfn.TEXTBEFORE(
SUBSTITUTE(
SUBSTITUTE(PRICING[Min Qty],"+"," "),
"-"," "
),
" "
),
(PRICING[SKU]=$A46)*
(PRICING[Set]=1)*
(PRICING[Rebate $]&lt;&gt;0)*
(PRICING[Rebate $]&lt;&gt;"")
)
),
0
)</f>
        <v>0</v>
      </c>
      <c r="G46" s="2" cm="1">
        <f t="array" ref="G46">IFERROR(
MIN(
_xlfn._xlws.FILTER(
--_xlfn.TEXTBEFORE(
SUBSTITUTE(
SUBSTITUTE(PRICING[Min Qty],"+"," "),
"-"," "
),
" "
),
(PRICING[SKU]=$A46)*
(PRICING[Set]=2)*
(PRICING[Rebate $]&lt;&gt;0)*
(PRICING[Rebate $]&lt;&gt;"")
)
),
0
)</f>
        <v>0</v>
      </c>
      <c r="H46" s="2" cm="1">
        <f t="array" ref="H46">IFERROR(
MIN(
_xlfn._xlws.FILTER(
--_xlfn.TEXTBEFORE(
SUBSTITUTE(
SUBSTITUTE(PRICING[Min Qty],"+"," "),
"-"," "
),
" "
),
(PRICING[SKU]=$A46)*
(PRICING[Set]=3)*
(PRICING[Rebate $]&lt;&gt;0)*
(PRICING[Rebate $]&lt;&gt;"")
)
),
0
)</f>
        <v>0</v>
      </c>
      <c r="I46" s="2" cm="1">
        <f t="array" ref="I46">IFERROR(
MIN(
_xlfn._xlws.FILTER(
--_xlfn.TEXTBEFORE(
SUBSTITUTE(
SUBSTITUTE(PRICING[Min Qty],"+"," "),
"-"," "
),
" "
),
(PRICING[SKU]=$A46)*
(PRICING[Set]=4)*
(PRICING[Rebate $]&lt;&gt;0)*
(PRICING[Rebate $]&lt;&gt;"")
)
),
0
)</f>
        <v>0</v>
      </c>
      <c r="J46" s="2" cm="1">
        <f t="array" ref="J46">SUM(
    SUMIFS(
        PRICING[Rebate $],
        PRICING[Program],
        {"EOP/ORN","ORN","EOP","NOW","LL/NOW","LL/SLP/NOW","LL/SLP/EOP"},
        PRICING[SKU],
        Rebate_Lookup[[#This Row],[SKU CODE]],
        PRICING[Set],
        1
    )
)</f>
        <v>2</v>
      </c>
      <c r="K46" s="2" cm="1">
        <f t="array" ref="K46">SUM(
    SUMIFS(
        PRICING[Rebate $],
        PRICING[Program],
        {"EOP/ORN","ORN","EOP","NOW","LL/NOW","LL/SLP/NOW","LL/SLP/EOP"},
        PRICING[SKU],
        Rebate_Lookup[[#This Row],[SKU CODE]],
        PRICING[Set],
        2
    )
)</f>
        <v>0</v>
      </c>
      <c r="L46" s="2" cm="1">
        <f t="array" ref="L46">SUM(
    SUMIFS(
        PRICING[Rebate $],
        PRICING[Program],
        {"EOP/ORN","ORN","EOP","NOW","LL/NOW","LL/SLP/NOW","LL/SLP/EOP"},
        PRICING[SKU],
        Rebate_Lookup[[#This Row],[SKU CODE]],
        PRICING[Set],
        3
    )
)</f>
        <v>0</v>
      </c>
      <c r="M46" s="2" cm="1">
        <f t="array" ref="M46">SUM(
    SUMIFS(
        PRICING[Rebate $],
        PRICING[Program],
        {"EOP/ORN","ORN","EOP","NOW","LL/NOW","LL/SLP/NOW","LL/SLP/EOP"},
        PRICING[SKU],
        Rebate_Lookup[[#This Row],[SKU CODE]],
        PRICING[Set],
        4
    )
)</f>
        <v>0</v>
      </c>
      <c r="N46" s="2">
        <f>INDEX(Estimates!H:H,MATCH(Rebate_Lookup[[#This Row],[SKU CODE]],Estimates!A:A,0))</f>
        <v>1000</v>
      </c>
      <c r="O46"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46" s="2">
        <f>COUNTIF(Estimates!A:A,Rebate_Lookup[[#This Row],[SKU CODE]])</f>
        <v>1</v>
      </c>
      <c r="Q46" s="3" t="b">
        <f>IFERROR(Rebate_Lookup[[#This Row],[Order Form Quantity]]&gt;=Rebate_Lookup[[#This Row],[MOQ_2]],0)</f>
        <v>1</v>
      </c>
    </row>
    <row r="47" spans="1:17" x14ac:dyDescent="0.2">
      <c r="A47" s="186">
        <v>81746257</v>
      </c>
      <c r="B47" s="2" t="str">
        <f>INDEX(PRICING[Agency/TT],MATCH(Rebate_Lookup[[#This Row],[SKU CODE]],PRICING[SKU],0))</f>
        <v>A</v>
      </c>
      <c r="C47" s="2" t="str">
        <f>INDEX(PRICING[Product],MATCH(Rebate_Lookup[[#This Row],[SKU CODE]],PRICING[SKU],0))</f>
        <v>Tribute® Total</v>
      </c>
      <c r="D47" s="2" t="str">
        <f>INDEX(PRICING[Size],MATCH(Rebate_Lookup[[#This Row],[SKU CODE]],PRICING[SKU],0))</f>
        <v>6 oz</v>
      </c>
      <c r="E47" s="2" cm="1">
        <f t="array" ref="E47">SUM(COUNTIFS(
    PRICING[Program],{"EOP/ORN","ORN","EOP","NOW","LL/NOW","LL/SLP/NOW","LL/SLP/EOP"},
    PRICING[SKU],A47
))</f>
        <v>2</v>
      </c>
      <c r="F47" s="2" cm="1">
        <f t="array" ref="F47">IFERROR(
MIN(
_xlfn._xlws.FILTER(
--_xlfn.TEXTBEFORE(
SUBSTITUTE(
SUBSTITUTE(PRICING[Min Qty],"+"," "),
"-"," "
),
" "
),
(PRICING[SKU]=$A47)*
(PRICING[Set]=1)*
(PRICING[Rebate $]&lt;&gt;0)*
(PRICING[Rebate $]&lt;&gt;"")
)
),
0
)</f>
        <v>0</v>
      </c>
      <c r="G47" s="2" cm="1">
        <f t="array" ref="G47">IFERROR(
MIN(
_xlfn._xlws.FILTER(
--_xlfn.TEXTBEFORE(
SUBSTITUTE(
SUBSTITUTE(PRICING[Min Qty],"+"," "),
"-"," "
),
" "
),
(PRICING[SKU]=$A47)*
(PRICING[Set]=2)*
(PRICING[Rebate $]&lt;&gt;0)*
(PRICING[Rebate $]&lt;&gt;"")
)
),
0
)</f>
        <v>6</v>
      </c>
      <c r="H47" s="2" cm="1">
        <f t="array" ref="H47">IFERROR(
MIN(
_xlfn._xlws.FILTER(
--_xlfn.TEXTBEFORE(
SUBSTITUTE(
SUBSTITUTE(PRICING[Min Qty],"+"," "),
"-"," "
),
" "
),
(PRICING[SKU]=$A47)*
(PRICING[Set]=3)*
(PRICING[Rebate $]&lt;&gt;0)*
(PRICING[Rebate $]&lt;&gt;"")
)
),
0
)</f>
        <v>0</v>
      </c>
      <c r="I47" s="2" cm="1">
        <f t="array" ref="I47">IFERROR(
MIN(
_xlfn._xlws.FILTER(
--_xlfn.TEXTBEFORE(
SUBSTITUTE(
SUBSTITUTE(PRICING[Min Qty],"+"," "),
"-"," "
),
" "
),
(PRICING[SKU]=$A47)*
(PRICING[Set]=4)*
(PRICING[Rebate $]&lt;&gt;0)*
(PRICING[Rebate $]&lt;&gt;"")
)
),
0
)</f>
        <v>0</v>
      </c>
      <c r="J47" s="2" cm="1">
        <f t="array" ref="J47">SUM(
    SUMIFS(
        PRICING[Rebate $],
        PRICING[Program],
        {"EOP/ORN","ORN","EOP","NOW","LL/NOW","LL/SLP/NOW","LL/SLP/EOP"},
        PRICING[SKU],
        Rebate_Lookup[[#This Row],[SKU CODE]],
        PRICING[Set],
        1
    )
)</f>
        <v>0</v>
      </c>
      <c r="K47" s="2" cm="1">
        <f t="array" ref="K47">SUM(
    SUMIFS(
        PRICING[Rebate $],
        PRICING[Program],
        {"EOP/ORN","ORN","EOP","NOW","LL/NOW","LL/SLP/NOW","LL/SLP/EOP"},
        PRICING[SKU],
        Rebate_Lookup[[#This Row],[SKU CODE]],
        PRICING[Set],
        2
    )
)</f>
        <v>40</v>
      </c>
      <c r="L47" s="2" cm="1">
        <f t="array" ref="L47">SUM(
    SUMIFS(
        PRICING[Rebate $],
        PRICING[Program],
        {"EOP/ORN","ORN","EOP","NOW","LL/NOW","LL/SLP/NOW","LL/SLP/EOP"},
        PRICING[SKU],
        Rebate_Lookup[[#This Row],[SKU CODE]],
        PRICING[Set],
        3
    )
)</f>
        <v>0</v>
      </c>
      <c r="M47" s="2" cm="1">
        <f t="array" ref="M47">SUM(
    SUMIFS(
        PRICING[Rebate $],
        PRICING[Program],
        {"EOP/ORN","ORN","EOP","NOW","LL/NOW","LL/SLP/NOW","LL/SLP/EOP"},
        PRICING[SKU],
        Rebate_Lookup[[#This Row],[SKU CODE]],
        PRICING[Set],
        4
    )
)</f>
        <v>0</v>
      </c>
      <c r="N47" s="2">
        <f>INDEX(Estimates!H:H,MATCH(Rebate_Lookup[[#This Row],[SKU CODE]],Estimates!A:A,0))</f>
        <v>0</v>
      </c>
      <c r="O47"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47" s="2">
        <f>COUNTIF(Estimates!A:A,Rebate_Lookup[[#This Row],[SKU CODE]])</f>
        <v>1</v>
      </c>
      <c r="Q47" s="3" t="b">
        <f>IFERROR(Rebate_Lookup[[#This Row],[Order Form Quantity]]&gt;=Rebate_Lookup[[#This Row],[MOQ_2]],0)</f>
        <v>0</v>
      </c>
    </row>
    <row r="48" spans="1:17" x14ac:dyDescent="0.2">
      <c r="A48" s="186">
        <v>11008520</v>
      </c>
      <c r="B48" s="2" t="str">
        <f>INDEX(PRICING[Agency/TT],MATCH(Rebate_Lookup[[#This Row],[SKU CODE]],PRICING[SKU],0))</f>
        <v>A</v>
      </c>
      <c r="C48" s="2" t="str">
        <f>INDEX(PRICING[Product],MATCH(Rebate_Lookup[[#This Row],[SKU CODE]],PRICING[SKU],0))</f>
        <v xml:space="preserve">Triple Crown® T&amp;O Insecticide </v>
      </c>
      <c r="D48" s="2" t="str">
        <f>INDEX(PRICING[Size],MATCH(Rebate_Lookup[[#This Row],[SKU CODE]],PRICING[SKU],0))</f>
        <v xml:space="preserve">1 gal </v>
      </c>
      <c r="E48" s="2" cm="1">
        <f t="array" ref="E48">SUM(COUNTIFS(
    PRICING[Program],{"EOP/ORN","ORN","EOP","NOW","LL/NOW","LL/SLP/NOW","LL/SLP/EOP"},
    PRICING[SKU],A48
))</f>
        <v>2</v>
      </c>
      <c r="F48" s="2" cm="1">
        <f t="array" ref="F48">IFERROR(
MIN(
_xlfn._xlws.FILTER(
--_xlfn.TEXTBEFORE(
SUBSTITUTE(
SUBSTITUTE(PRICING[Min Qty],"+"," "),
"-"," "
),
" "
),
(PRICING[SKU]=$A48)*
(PRICING[Set]=1)*
(PRICING[Rebate $]&lt;&gt;0)*
(PRICING[Rebate $]&lt;&gt;"")
)
),
0
)</f>
        <v>0</v>
      </c>
      <c r="G48" s="2" cm="1">
        <f t="array" ref="G48">IFERROR(
MIN(
_xlfn._xlws.FILTER(
--_xlfn.TEXTBEFORE(
SUBSTITUTE(
SUBSTITUTE(PRICING[Min Qty],"+"," "),
"-"," "
),
" "
),
(PRICING[SKU]=$A48)*
(PRICING[Set]=2)*
(PRICING[Rebate $]&lt;&gt;0)*
(PRICING[Rebate $]&lt;&gt;"")
)
),
0
)</f>
        <v>8</v>
      </c>
      <c r="H48" s="2" cm="1">
        <f t="array" ref="H48">IFERROR(
MIN(
_xlfn._xlws.FILTER(
--_xlfn.TEXTBEFORE(
SUBSTITUTE(
SUBSTITUTE(PRICING[Min Qty],"+"," "),
"-"," "
),
" "
),
(PRICING[SKU]=$A48)*
(PRICING[Set]=3)*
(PRICING[Rebate $]&lt;&gt;0)*
(PRICING[Rebate $]&lt;&gt;"")
)
),
0
)</f>
        <v>0</v>
      </c>
      <c r="I48" s="2" cm="1">
        <f t="array" ref="I48">IFERROR(
MIN(
_xlfn._xlws.FILTER(
--_xlfn.TEXTBEFORE(
SUBSTITUTE(
SUBSTITUTE(PRICING[Min Qty],"+"," "),
"-"," "
),
" "
),
(PRICING[SKU]=$A48)*
(PRICING[Set]=4)*
(PRICING[Rebate $]&lt;&gt;0)*
(PRICING[Rebate $]&lt;&gt;"")
)
),
0
)</f>
        <v>0</v>
      </c>
      <c r="J48" s="2" cm="1">
        <f t="array" ref="J48">SUM(
    SUMIFS(
        PRICING[Rebate $],
        PRICING[Program],
        {"EOP/ORN","ORN","EOP","NOW","LL/NOW","LL/SLP/NOW","LL/SLP/EOP"},
        PRICING[SKU],
        Rebate_Lookup[[#This Row],[SKU CODE]],
        PRICING[Set],
        1
    )
)</f>
        <v>0</v>
      </c>
      <c r="K48" s="2" cm="1">
        <f t="array" ref="K48">SUM(
    SUMIFS(
        PRICING[Rebate $],
        PRICING[Program],
        {"EOP/ORN","ORN","EOP","NOW","LL/NOW","LL/SLP/NOW","LL/SLP/EOP"},
        PRICING[SKU],
        Rebate_Lookup[[#This Row],[SKU CODE]],
        PRICING[Set],
        2
    )
)</f>
        <v>10</v>
      </c>
      <c r="L48" s="2" cm="1">
        <f t="array" ref="L48">SUM(
    SUMIFS(
        PRICING[Rebate $],
        PRICING[Program],
        {"EOP/ORN","ORN","EOP","NOW","LL/NOW","LL/SLP/NOW","LL/SLP/EOP"},
        PRICING[SKU],
        Rebate_Lookup[[#This Row],[SKU CODE]],
        PRICING[Set],
        3
    )
)</f>
        <v>0</v>
      </c>
      <c r="M48" s="2" cm="1">
        <f t="array" ref="M48">SUM(
    SUMIFS(
        PRICING[Rebate $],
        PRICING[Program],
        {"EOP/ORN","ORN","EOP","NOW","LL/NOW","LL/SLP/NOW","LL/SLP/EOP"},
        PRICING[SKU],
        Rebate_Lookup[[#This Row],[SKU CODE]],
        PRICING[Set],
        4
    )
)</f>
        <v>0</v>
      </c>
      <c r="N48" s="2">
        <f>INDEX(Estimates!H:H,MATCH(Rebate_Lookup[[#This Row],[SKU CODE]],Estimates!A:A,0))</f>
        <v>0</v>
      </c>
      <c r="O48"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48" s="2">
        <f>COUNTIF(Estimates!A:A,Rebate_Lookup[[#This Row],[SKU CODE]])</f>
        <v>1</v>
      </c>
      <c r="Q48" s="3" t="b">
        <f>IFERROR(Rebate_Lookup[[#This Row],[Order Form Quantity]]&gt;=Rebate_Lookup[[#This Row],[MOQ_2]],0)</f>
        <v>0</v>
      </c>
    </row>
    <row r="49" spans="1:17" x14ac:dyDescent="0.2">
      <c r="A49" s="186">
        <v>11008590</v>
      </c>
      <c r="B49" s="2" t="str">
        <f>INDEX(PRICING[Agency/TT],MATCH(Rebate_Lookup[[#This Row],[SKU CODE]],PRICING[SKU],0))</f>
        <v>A</v>
      </c>
      <c r="C49" s="2" t="str">
        <f>INDEX(PRICING[Product],MATCH(Rebate_Lookup[[#This Row],[SKU CODE]],PRICING[SKU],0))</f>
        <v>Xonerate® 2SC Herbicide</v>
      </c>
      <c r="D49" s="2" t="str">
        <f>INDEX(PRICING[Size],MATCH(Rebate_Lookup[[#This Row],[SKU CODE]],PRICING[SKU],0))</f>
        <v>12 oz</v>
      </c>
      <c r="E49" s="2" cm="1">
        <f t="array" ref="E49">SUM(COUNTIFS(
    PRICING[Program],{"EOP/ORN","ORN","EOP","NOW","LL/NOW","LL/SLP/NOW","LL/SLP/EOP"},
    PRICING[SKU],A49
))</f>
        <v>2</v>
      </c>
      <c r="F49" s="2" cm="1">
        <f t="array" ref="F49">IFERROR(
MIN(
_xlfn._xlws.FILTER(
--_xlfn.TEXTBEFORE(
SUBSTITUTE(
SUBSTITUTE(PRICING[Min Qty],"+"," "),
"-"," "
),
" "
),
(PRICING[SKU]=$A49)*
(PRICING[Set]=1)*
(PRICING[Rebate $]&lt;&gt;0)*
(PRICING[Rebate $]&lt;&gt;"")
)
),
0
)</f>
        <v>1</v>
      </c>
      <c r="G49" s="2" cm="1">
        <f t="array" ref="G49">IFERROR(
MIN(
_xlfn._xlws.FILTER(
--_xlfn.TEXTBEFORE(
SUBSTITUTE(
SUBSTITUTE(PRICING[Min Qty],"+"," "),
"-"," "
),
" "
),
(PRICING[SKU]=$A49)*
(PRICING[Set]=2)*
(PRICING[Rebate $]&lt;&gt;0)*
(PRICING[Rebate $]&lt;&gt;"")
)
),
0
)</f>
        <v>24</v>
      </c>
      <c r="H49" s="2" cm="1">
        <f t="array" ref="H49">IFERROR(
MIN(
_xlfn._xlws.FILTER(
--_xlfn.TEXTBEFORE(
SUBSTITUTE(
SUBSTITUTE(PRICING[Min Qty],"+"," "),
"-"," "
),
" "
),
(PRICING[SKU]=$A49)*
(PRICING[Set]=3)*
(PRICING[Rebate $]&lt;&gt;0)*
(PRICING[Rebate $]&lt;&gt;"")
)
),
0
)</f>
        <v>0</v>
      </c>
      <c r="I49" s="2" cm="1">
        <f t="array" ref="I49">IFERROR(
MIN(
_xlfn._xlws.FILTER(
--_xlfn.TEXTBEFORE(
SUBSTITUTE(
SUBSTITUTE(PRICING[Min Qty],"+"," "),
"-"," "
),
" "
),
(PRICING[SKU]=$A49)*
(PRICING[Set]=4)*
(PRICING[Rebate $]&lt;&gt;0)*
(PRICING[Rebate $]&lt;&gt;"")
)
),
0
)</f>
        <v>0</v>
      </c>
      <c r="J49" s="2" cm="1">
        <f t="array" ref="J49">SUM(
    SUMIFS(
        PRICING[Rebate $],
        PRICING[Program],
        {"EOP/ORN","ORN","EOP","NOW","LL/NOW","LL/SLP/NOW","LL/SLP/EOP"},
        PRICING[SKU],
        Rebate_Lookup[[#This Row],[SKU CODE]],
        PRICING[Set],
        1
    )
)</f>
        <v>25</v>
      </c>
      <c r="K49" s="2" cm="1">
        <f t="array" ref="K49">SUM(
    SUMIFS(
        PRICING[Rebate $],
        PRICING[Program],
        {"EOP/ORN","ORN","EOP","NOW","LL/NOW","LL/SLP/NOW","LL/SLP/EOP"},
        PRICING[SKU],
        Rebate_Lookup[[#This Row],[SKU CODE]],
        PRICING[Set],
        2
    )
)</f>
        <v>50</v>
      </c>
      <c r="L49" s="2" cm="1">
        <f t="array" ref="L49">SUM(
    SUMIFS(
        PRICING[Rebate $],
        PRICING[Program],
        {"EOP/ORN","ORN","EOP","NOW","LL/NOW","LL/SLP/NOW","LL/SLP/EOP"},
        PRICING[SKU],
        Rebate_Lookup[[#This Row],[SKU CODE]],
        PRICING[Set],
        3
    )
)</f>
        <v>0</v>
      </c>
      <c r="M49" s="2" cm="1">
        <f t="array" ref="M49">SUM(
    SUMIFS(
        PRICING[Rebate $],
        PRICING[Program],
        {"EOP/ORN","ORN","EOP","NOW","LL/NOW","LL/SLP/NOW","LL/SLP/EOP"},
        PRICING[SKU],
        Rebate_Lookup[[#This Row],[SKU CODE]],
        PRICING[Set],
        4
    )
)</f>
        <v>0</v>
      </c>
      <c r="N49" s="2">
        <f>INDEX(Estimates!H:H,MATCH(Rebate_Lookup[[#This Row],[SKU CODE]],Estimates!A:A,0))</f>
        <v>0</v>
      </c>
      <c r="O49" s="2" t="str">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
      </c>
      <c r="P49" s="2">
        <f>COUNTIF(Estimates!A:A,Rebate_Lookup[[#This Row],[SKU CODE]])</f>
        <v>1</v>
      </c>
      <c r="Q49" s="3" t="b">
        <f>IFERROR(Rebate_Lookup[[#This Row],[Order Form Quantity]]&gt;=Rebate_Lookup[[#This Row],[MOQ_2]],0)</f>
        <v>0</v>
      </c>
    </row>
    <row r="50" spans="1:17" x14ac:dyDescent="0.2">
      <c r="A50" s="277" t="s">
        <v>46</v>
      </c>
      <c r="B50" s="2" t="str">
        <f>INDEX(PRICING[Agency/TT],MATCH(Rebate_Lookup[[#This Row],[SKU CODE]],PRICING[SKU],0))</f>
        <v>A</v>
      </c>
      <c r="C50" s="2" t="str">
        <f>INDEX(PRICING[Product],MATCH(Rebate_Lookup[[#This Row],[SKU CODE]],PRICING[SKU],0))</f>
        <v>Altus®</v>
      </c>
      <c r="D50" s="2" t="str">
        <f>INDEX(PRICING[Size],MATCH(Rebate_Lookup[[#This Row],[SKU CODE]],PRICING[SKU],0))</f>
        <v>64 oz</v>
      </c>
      <c r="E50" s="2" cm="1">
        <f t="array" ref="E50">SUM(COUNTIFS(
    PRICING[Program],{"EOP/ORN","ORN","EOP","NOW","LL/NOW","LL/SLP/NOW","LL/SLP/EOP"},
    PRICING[SKU],A50
))</f>
        <v>1</v>
      </c>
      <c r="F50" s="2" cm="1">
        <f t="array" ref="F50">IFERROR(
MIN(
_xlfn._xlws.FILTER(
--_xlfn.TEXTBEFORE(
SUBSTITUTE(
SUBSTITUTE(PRICING[Min Qty],"+"," "),
"-"," "
),
" "
),
(PRICING[SKU]=$A50)*
(PRICING[Set]=1)*
(PRICING[Rebate $]&lt;&gt;0)*
(PRICING[Rebate $]&lt;&gt;"")
)
),
0
)</f>
        <v>0</v>
      </c>
      <c r="G50" s="2" cm="1">
        <f t="array" ref="G50">IFERROR(
MIN(
_xlfn._xlws.FILTER(
--_xlfn.TEXTBEFORE(
SUBSTITUTE(
SUBSTITUTE(PRICING[Min Qty],"+"," "),
"-"," "
),
" "
),
(PRICING[SKU]=$A50)*
(PRICING[Set]=2)*
(PRICING[Rebate $]&lt;&gt;0)*
(PRICING[Rebate $]&lt;&gt;"")
)
),
0
)</f>
        <v>0</v>
      </c>
      <c r="H50" s="2" cm="1">
        <f t="array" ref="H50">IFERROR(
MIN(
_xlfn._xlws.FILTER(
--_xlfn.TEXTBEFORE(
SUBSTITUTE(
SUBSTITUTE(PRICING[Min Qty],"+"," "),
"-"," "
),
" "
),
(PRICING[SKU]=$A50)*
(PRICING[Set]=3)*
(PRICING[Rebate $]&lt;&gt;0)*
(PRICING[Rebate $]&lt;&gt;"")
)
),
0
)</f>
        <v>0</v>
      </c>
      <c r="I50" s="2" cm="1">
        <f t="array" ref="I50">IFERROR(
MIN(
_xlfn._xlws.FILTER(
--_xlfn.TEXTBEFORE(
SUBSTITUTE(
SUBSTITUTE(PRICING[Min Qty],"+"," "),
"-"," "
),
" "
),
(PRICING[SKU]=$A50)*
(PRICING[Set]=4)*
(PRICING[Rebate $]&lt;&gt;0)*
(PRICING[Rebate $]&lt;&gt;"")
)
),
0
)</f>
        <v>0</v>
      </c>
      <c r="J50" s="2" cm="1">
        <f t="array" ref="J50">SUM(
    SUMIFS(
        PRICING[Rebate $],
        PRICING[Program],
        {"EOP/ORN","ORN","EOP","NOW","LL/NOW","LL/SLP/NOW","LL/SLP/EOP"},
        PRICING[SKU],
        Rebate_Lookup[[#This Row],[SKU CODE]],
        PRICING[Set],
        1
    )
)</f>
        <v>0</v>
      </c>
      <c r="K50" s="2" cm="1">
        <f t="array" ref="K50">SUM(
    SUMIFS(
        PRICING[Rebate $],
        PRICING[Program],
        {"EOP/ORN","ORN","EOP","NOW","LL/NOW","LL/SLP/NOW","LL/SLP/EOP"},
        PRICING[SKU],
        Rebate_Lookup[[#This Row],[SKU CODE]],
        PRICING[Set],
        2
    )
)</f>
        <v>0</v>
      </c>
      <c r="L50" s="2" cm="1">
        <f t="array" ref="L50">SUM(
    SUMIFS(
        PRICING[Rebate $],
        PRICING[Program],
        {"EOP/ORN","ORN","EOP","NOW","LL/NOW","LL/SLP/NOW","LL/SLP/EOP"},
        PRICING[SKU],
        Rebate_Lookup[[#This Row],[SKU CODE]],
        PRICING[Set],
        3
    )
)</f>
        <v>0</v>
      </c>
      <c r="M50" s="2" cm="1">
        <f t="array" ref="M50">SUM(
    SUMIFS(
        PRICING[Rebate $],
        PRICING[Program],
        {"EOP/ORN","ORN","EOP","NOW","LL/NOW","LL/SLP/NOW","LL/SLP/EOP"},
        PRICING[SKU],
        Rebate_Lookup[[#This Row],[SKU CODE]],
        PRICING[Set],
        4
    )
)</f>
        <v>0</v>
      </c>
      <c r="N50" s="2">
        <f>INDEX(Estimates!H:H,MATCH(Rebate_Lookup[[#This Row],[SKU CODE]],Estimates!A:A,0))</f>
        <v>0</v>
      </c>
      <c r="O50"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50" s="2">
        <f>COUNTIF(Estimates!A:A,Rebate_Lookup[[#This Row],[SKU CODE]])</f>
        <v>1</v>
      </c>
      <c r="Q50" s="3" t="b">
        <f>IFERROR(Rebate_Lookup[[#This Row],[Order Form Quantity]]&gt;=Rebate_Lookup[[#This Row],[MOQ_2]],0)</f>
        <v>1</v>
      </c>
    </row>
    <row r="51" spans="1:17" x14ac:dyDescent="0.2">
      <c r="A51" s="278" t="s">
        <v>47</v>
      </c>
      <c r="B51" s="2" t="str">
        <f>INDEX(PRICING[Agency/TT],MATCH(Rebate_Lookup[[#This Row],[SKU CODE]],PRICING[SKU],0))</f>
        <v>A</v>
      </c>
      <c r="C51" s="2" t="str">
        <f>INDEX(PRICING[Product],MATCH(Rebate_Lookup[[#This Row],[SKU CODE]],PRICING[SKU],0))</f>
        <v>Altus®</v>
      </c>
      <c r="D51" s="2" t="str">
        <f>INDEX(PRICING[Size],MATCH(Rebate_Lookup[[#This Row],[SKU CODE]],PRICING[SKU],0))</f>
        <v>64 oz</v>
      </c>
      <c r="E51" s="2" cm="1">
        <f t="array" ref="E51">SUM(COUNTIFS(
    PRICING[Program],{"EOP/ORN","ORN","EOP","NOW","LL/NOW","LL/SLP/NOW","LL/SLP/EOP"},
    PRICING[SKU],A51
))</f>
        <v>1</v>
      </c>
      <c r="F51" s="2" cm="1">
        <f t="array" ref="F51">IFERROR(
MIN(
_xlfn._xlws.FILTER(
--_xlfn.TEXTBEFORE(
SUBSTITUTE(
SUBSTITUTE(PRICING[Min Qty],"+"," "),
"-"," "
),
" "
),
(PRICING[SKU]=$A51)*
(PRICING[Set]=1)*
(PRICING[Rebate $]&lt;&gt;0)*
(PRICING[Rebate $]&lt;&gt;"")
)
),
0
)</f>
        <v>0</v>
      </c>
      <c r="G51" s="2" cm="1">
        <f t="array" ref="G51">IFERROR(
MIN(
_xlfn._xlws.FILTER(
--_xlfn.TEXTBEFORE(
SUBSTITUTE(
SUBSTITUTE(PRICING[Min Qty],"+"," "),
"-"," "
),
" "
),
(PRICING[SKU]=$A51)*
(PRICING[Set]=2)*
(PRICING[Rebate $]&lt;&gt;0)*
(PRICING[Rebate $]&lt;&gt;"")
)
),
0
)</f>
        <v>0</v>
      </c>
      <c r="H51" s="2" cm="1">
        <f t="array" ref="H51">IFERROR(
MIN(
_xlfn._xlws.FILTER(
--_xlfn.TEXTBEFORE(
SUBSTITUTE(
SUBSTITUTE(PRICING[Min Qty],"+"," "),
"-"," "
),
" "
),
(PRICING[SKU]=$A51)*
(PRICING[Set]=3)*
(PRICING[Rebate $]&lt;&gt;0)*
(PRICING[Rebate $]&lt;&gt;"")
)
),
0
)</f>
        <v>0</v>
      </c>
      <c r="I51" s="2" cm="1">
        <f t="array" ref="I51">IFERROR(
MIN(
_xlfn._xlws.FILTER(
--_xlfn.TEXTBEFORE(
SUBSTITUTE(
SUBSTITUTE(PRICING[Min Qty],"+"," "),
"-"," "
),
" "
),
(PRICING[SKU]=$A51)*
(PRICING[Set]=4)*
(PRICING[Rebate $]&lt;&gt;0)*
(PRICING[Rebate $]&lt;&gt;"")
)
),
0
)</f>
        <v>0</v>
      </c>
      <c r="J51" s="2" cm="1">
        <f t="array" ref="J51">SUM(
    SUMIFS(
        PRICING[Rebate $],
        PRICING[Program],
        {"EOP/ORN","ORN","EOP","NOW","LL/NOW","LL/SLP/NOW","LL/SLP/EOP"},
        PRICING[SKU],
        Rebate_Lookup[[#This Row],[SKU CODE]],
        PRICING[Set],
        1
    )
)</f>
        <v>0</v>
      </c>
      <c r="K51" s="2" cm="1">
        <f t="array" ref="K51">SUM(
    SUMIFS(
        PRICING[Rebate $],
        PRICING[Program],
        {"EOP/ORN","ORN","EOP","NOW","LL/NOW","LL/SLP/NOW","LL/SLP/EOP"},
        PRICING[SKU],
        Rebate_Lookup[[#This Row],[SKU CODE]],
        PRICING[Set],
        2
    )
)</f>
        <v>0</v>
      </c>
      <c r="L51" s="2" cm="1">
        <f t="array" ref="L51">SUM(
    SUMIFS(
        PRICING[Rebate $],
        PRICING[Program],
        {"EOP/ORN","ORN","EOP","NOW","LL/NOW","LL/SLP/NOW","LL/SLP/EOP"},
        PRICING[SKU],
        Rebate_Lookup[[#This Row],[SKU CODE]],
        PRICING[Set],
        3
    )
)</f>
        <v>0</v>
      </c>
      <c r="M51" s="2" cm="1">
        <f t="array" ref="M51">SUM(
    SUMIFS(
        PRICING[Rebate $],
        PRICING[Program],
        {"EOP/ORN","ORN","EOP","NOW","LL/NOW","LL/SLP/NOW","LL/SLP/EOP"},
        PRICING[SKU],
        Rebate_Lookup[[#This Row],[SKU CODE]],
        PRICING[Set],
        4
    )
)</f>
        <v>0</v>
      </c>
      <c r="N51" s="2">
        <f>INDEX(Estimates!H:H,MATCH(Rebate_Lookup[[#This Row],[SKU CODE]],Estimates!A:A,0))</f>
        <v>0</v>
      </c>
      <c r="O51" s="2">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51" s="2">
        <f>COUNTIF(Estimates!A:A,Rebate_Lookup[[#This Row],[SKU CODE]])</f>
        <v>1</v>
      </c>
      <c r="Q51" s="3" t="b">
        <f>IFERROR(Rebate_Lookup[[#This Row],[Order Form Quantity]]&gt;=Rebate_Lookup[[#This Row],[MOQ_2]],0)</f>
        <v>1</v>
      </c>
    </row>
    <row r="52" spans="1:17" x14ac:dyDescent="0.2">
      <c r="A52" s="278" t="s">
        <v>48</v>
      </c>
      <c r="B52" s="86" t="str">
        <f>INDEX(PRICING[Agency/TT],MATCH(Rebate_Lookup[[#This Row],[SKU CODE]],PRICING[SKU],0))</f>
        <v>A</v>
      </c>
      <c r="C52" s="86" t="str">
        <f>INDEX(PRICING[Product],MATCH(Rebate_Lookup[[#This Row],[SKU CODE]],PRICING[SKU],0))</f>
        <v>Altus®</v>
      </c>
      <c r="D52" s="86" t="str">
        <f>INDEX(PRICING[Size],MATCH(Rebate_Lookup[[#This Row],[SKU CODE]],PRICING[SKU],0))</f>
        <v>64 oz</v>
      </c>
      <c r="E52" s="86" cm="1">
        <f t="array" ref="E52">SUM(COUNTIFS(
    PRICING[Program],{"EOP/ORN","ORN","EOP","NOW","LL/NOW","LL/SLP/NOW","LL/SLP/EOP"},
    PRICING[SKU],A52
))</f>
        <v>1</v>
      </c>
      <c r="F52" s="86" cm="1">
        <f t="array" ref="F52">IFERROR(
MIN(
_xlfn._xlws.FILTER(
--_xlfn.TEXTBEFORE(
SUBSTITUTE(
SUBSTITUTE(PRICING[Min Qty],"+"," "),
"-"," "
),
" "
),
(PRICING[SKU]=$A52)*
(PRICING[Set]=1)*
(PRICING[Rebate $]&lt;&gt;0)*
(PRICING[Rebate $]&lt;&gt;"")
)
),
0
)</f>
        <v>0</v>
      </c>
      <c r="G52" s="86" cm="1">
        <f t="array" ref="G52">IFERROR(
MIN(
_xlfn._xlws.FILTER(
--_xlfn.TEXTBEFORE(
SUBSTITUTE(
SUBSTITUTE(PRICING[Min Qty],"+"," "),
"-"," "
),
" "
),
(PRICING[SKU]=$A52)*
(PRICING[Set]=2)*
(PRICING[Rebate $]&lt;&gt;0)*
(PRICING[Rebate $]&lt;&gt;"")
)
),
0
)</f>
        <v>0</v>
      </c>
      <c r="H52" s="86" cm="1">
        <f t="array" ref="H52">IFERROR(
MIN(
_xlfn._xlws.FILTER(
--_xlfn.TEXTBEFORE(
SUBSTITUTE(
SUBSTITUTE(PRICING[Min Qty],"+"," "),
"-"," "
),
" "
),
(PRICING[SKU]=$A52)*
(PRICING[Set]=3)*
(PRICING[Rebate $]&lt;&gt;0)*
(PRICING[Rebate $]&lt;&gt;"")
)
),
0
)</f>
        <v>0</v>
      </c>
      <c r="I52" s="86" cm="1">
        <f t="array" ref="I52">IFERROR(
MIN(
_xlfn._xlws.FILTER(
--_xlfn.TEXTBEFORE(
SUBSTITUTE(
SUBSTITUTE(PRICING[Min Qty],"+"," "),
"-"," "
),
" "
),
(PRICING[SKU]=$A52)*
(PRICING[Set]=4)*
(PRICING[Rebate $]&lt;&gt;0)*
(PRICING[Rebate $]&lt;&gt;"")
)
),
0
)</f>
        <v>0</v>
      </c>
      <c r="J52" s="86" cm="1">
        <f t="array" ref="J52">SUM(
    SUMIFS(
        PRICING[Rebate $],
        PRICING[Program],
        {"EOP/ORN","ORN","EOP","NOW","LL/NOW","LL/SLP/NOW","LL/SLP/EOP"},
        PRICING[SKU],
        Rebate_Lookup[[#This Row],[SKU CODE]],
        PRICING[Set],
        1
    )
)</f>
        <v>0</v>
      </c>
      <c r="K52" s="86" cm="1">
        <f t="array" ref="K52">SUM(
    SUMIFS(
        PRICING[Rebate $],
        PRICING[Program],
        {"EOP/ORN","ORN","EOP","NOW","LL/NOW","LL/SLP/NOW","LL/SLP/EOP"},
        PRICING[SKU],
        Rebate_Lookup[[#This Row],[SKU CODE]],
        PRICING[Set],
        2
    )
)</f>
        <v>0</v>
      </c>
      <c r="L52" s="86" cm="1">
        <f t="array" ref="L52">SUM(
    SUMIFS(
        PRICING[Rebate $],
        PRICING[Program],
        {"EOP/ORN","ORN","EOP","NOW","LL/NOW","LL/SLP/NOW","LL/SLP/EOP"},
        PRICING[SKU],
        Rebate_Lookup[[#This Row],[SKU CODE]],
        PRICING[Set],
        3
    )
)</f>
        <v>0</v>
      </c>
      <c r="M52" s="86" cm="1">
        <f t="array" ref="M52">SUM(
    SUMIFS(
        PRICING[Rebate $],
        PRICING[Program],
        {"EOP/ORN","ORN","EOP","NOW","LL/NOW","LL/SLP/NOW","LL/SLP/EOP"},
        PRICING[SKU],
        Rebate_Lookup[[#This Row],[SKU CODE]],
        PRICING[Set],
        4
    )
)</f>
        <v>0</v>
      </c>
      <c r="N52" s="86">
        <f>INDEX(Estimates!H:H,MATCH(Rebate_Lookup[[#This Row],[SKU CODE]],Estimates!A:A,0))</f>
        <v>0</v>
      </c>
      <c r="O52" s="86">
        <f>IF(Rebate_Lookup[[#This Row],[Instances]]=1,
    IF(Rebate_Lookup[[#This Row],[Order Form Quantity]]&gt;=Rebate_Lookup[[#This Row],[MOQ_1]],1,""),
IF(Rebate_Lookup[[#This Row],[Instances]]=2,
    IF(Rebate_Lookup[[#This Row],[Order Form Quantity]]&gt;=Rebate_Lookup[[#This Row],[MOQ_2]],2,
        IF(Rebate_Lookup[[#This Row],[Order Form Quantity]]&gt;=Rebate_Lookup[[#This Row],[MOQ_1]],1,"")
    ),
IF(Rebate_Lookup[[#This Row],[Instances]]=3,
    IF(Rebate_Lookup[[#This Row],[Order Form Quantity]]&gt;=Rebate_Lookup[[#This Row],[MOQ_3]],3,
        IF(Rebate_Lookup[[#This Row],[Order Form Quantity]]&gt;=Rebate_Lookup[[#This Row],[MOQ_2]],2,
            IF(Rebate_Lookup[[#This Row],[Order Form Quantity]]&gt;=Rebate_Lookup[[#This Row],[MOQ_1]],1,"")
        )
    ),
IF(Rebate_Lookup[[#This Row],[Instances]]=4,
    IF(Rebate_Lookup[[#This Row],[Order Form Quantity]]&gt;=Rebate_Lookup[[#This Row],[MOQ_4]],4,
        IF(Rebate_Lookup[[#This Row],[Order Form Quantity]]&gt;=Rebate_Lookup[[#This Row],[MOQ_3]],3,
            IF(Rebate_Lookup[[#This Row],[Order Form Quantity]]&gt;=Rebate_Lookup[[#This Row],[MOQ_2]],2,
                IF(Rebate_Lookup[[#This Row],[Order Form Quantity]]&gt;=Rebate_Lookup[[#This Row],[MOQ_1]],1,"")
            )
        )
    ),
""))))</f>
        <v>1</v>
      </c>
      <c r="P52" s="86">
        <f>COUNTIF(Estimates!A:A,Rebate_Lookup[[#This Row],[SKU CODE]])</f>
        <v>1</v>
      </c>
      <c r="Q52" s="87" t="b">
        <f>IFERROR(Rebate_Lookup[[#This Row],[Order Form Quantity]]&gt;=Rebate_Lookup[[#This Row],[MOQ_2]],0)</f>
        <v>1</v>
      </c>
    </row>
  </sheetData>
  <sheetProtection algorithmName="SHA-512" hashValue="FOxxfLYgUN5ooy6F+rNTJRV9weG8hbKQ2BglTTm2hCgDlcqMBW8yocWj0o6jLxQauYqXPSA8xZsHOP+lQdWYiA==" saltValue="HYHIbQ54dN98TnC6s1DEvQ==" spinCount="100000" sheet="1" selectLockedCells="1"/>
  <phoneticPr fontId="9"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1F4D0-D76F-4EA0-A4C3-9357C078D6F1}">
  <sheetPr codeName="Sheet4"/>
  <dimension ref="A1:AJ68"/>
  <sheetViews>
    <sheetView zoomScale="85" zoomScaleNormal="85" workbookViewId="0">
      <selection activeCell="O71" sqref="O71"/>
    </sheetView>
  </sheetViews>
  <sheetFormatPr baseColWidth="10" defaultColWidth="8.83203125" defaultRowHeight="15" x14ac:dyDescent="0.2"/>
  <cols>
    <col min="1" max="1" width="14.5" bestFit="1" customWidth="1"/>
    <col min="2" max="2" width="12.5" bestFit="1" customWidth="1"/>
    <col min="3" max="3" width="10.83203125" bestFit="1" customWidth="1"/>
    <col min="4" max="4" width="9.5" bestFit="1" customWidth="1"/>
    <col min="5" max="5" width="11.5" bestFit="1" customWidth="1"/>
    <col min="6" max="6" width="10.5" bestFit="1" customWidth="1"/>
    <col min="7" max="7" width="16.1640625" bestFit="1" customWidth="1"/>
    <col min="8" max="8" width="14.5" bestFit="1" customWidth="1"/>
    <col min="9" max="9" width="12.5" style="155" bestFit="1" customWidth="1"/>
    <col min="10" max="10" width="28.1640625" bestFit="1" customWidth="1"/>
    <col min="11" max="11" width="8.1640625" bestFit="1" customWidth="1"/>
    <col min="12" max="12" width="21.5" style="141" bestFit="1" customWidth="1"/>
    <col min="13" max="13" width="13.5" style="141" bestFit="1" customWidth="1"/>
    <col min="14" max="14" width="19.83203125" style="141" bestFit="1" customWidth="1"/>
    <col min="15" max="15" width="12.83203125" style="159" bestFit="1" customWidth="1"/>
    <col min="16" max="16" width="12" style="141" bestFit="1" customWidth="1"/>
    <col min="17" max="17" width="13.1640625" style="141" bestFit="1" customWidth="1"/>
    <col min="18" max="18" width="19.5" style="141" bestFit="1" customWidth="1"/>
    <col min="19" max="19" width="16.5" style="141" bestFit="1" customWidth="1"/>
    <col min="20" max="20" width="15.83203125" style="141" bestFit="1" customWidth="1"/>
    <col min="21" max="21" width="20.5" style="141" bestFit="1" customWidth="1"/>
    <col min="22" max="22" width="17.1640625" style="141" bestFit="1" customWidth="1"/>
    <col min="23" max="23" width="16.5" style="141" bestFit="1" customWidth="1"/>
    <col min="24" max="24" width="16.5" style="147" bestFit="1" customWidth="1"/>
    <col min="25" max="25" width="25" bestFit="1" customWidth="1"/>
    <col min="26" max="26" width="27" bestFit="1" customWidth="1"/>
    <col min="27" max="27" width="17.5" style="141" bestFit="1" customWidth="1"/>
    <col min="28" max="28" width="13.1640625" style="141" bestFit="1" customWidth="1"/>
    <col min="29" max="29" width="9.83203125" style="157" bestFit="1" customWidth="1"/>
    <col min="30" max="30" width="12.5" bestFit="1" customWidth="1"/>
    <col min="31" max="31" width="6.5" bestFit="1" customWidth="1"/>
    <col min="32" max="32" width="15.5" bestFit="1" customWidth="1"/>
    <col min="33" max="33" width="8.5" customWidth="1"/>
    <col min="45" max="45" width="9.5" customWidth="1"/>
  </cols>
  <sheetData>
    <row r="1" spans="1:36" x14ac:dyDescent="0.2">
      <c r="A1" s="142" t="s">
        <v>123</v>
      </c>
      <c r="B1" s="142" t="s">
        <v>107</v>
      </c>
      <c r="C1" s="142" t="s">
        <v>124</v>
      </c>
      <c r="D1" s="142" t="s">
        <v>125</v>
      </c>
      <c r="E1" s="142" t="s">
        <v>126</v>
      </c>
      <c r="F1" s="142" t="s">
        <v>127</v>
      </c>
      <c r="G1" s="142" t="s">
        <v>128</v>
      </c>
      <c r="H1" s="142" t="s">
        <v>129</v>
      </c>
      <c r="I1" s="154" t="s">
        <v>130</v>
      </c>
      <c r="J1" s="142" t="s">
        <v>131</v>
      </c>
      <c r="K1" s="142" t="s">
        <v>109</v>
      </c>
      <c r="L1" s="145" t="s">
        <v>132</v>
      </c>
      <c r="M1" s="145" t="s">
        <v>133</v>
      </c>
      <c r="N1" s="145" t="s">
        <v>134</v>
      </c>
      <c r="O1" s="158" t="s">
        <v>135</v>
      </c>
      <c r="P1" s="145" t="s">
        <v>136</v>
      </c>
      <c r="Q1" s="145" t="s">
        <v>137</v>
      </c>
      <c r="R1" s="145" t="s">
        <v>138</v>
      </c>
      <c r="S1" s="145" t="s">
        <v>139</v>
      </c>
      <c r="T1" s="145" t="s">
        <v>140</v>
      </c>
      <c r="U1" s="145" t="s">
        <v>141</v>
      </c>
      <c r="V1" s="145" t="s">
        <v>142</v>
      </c>
      <c r="W1" s="145" t="s">
        <v>143</v>
      </c>
      <c r="X1" s="146" t="s">
        <v>144</v>
      </c>
      <c r="Y1" s="142" t="s">
        <v>145</v>
      </c>
      <c r="Z1" s="142" t="s">
        <v>146</v>
      </c>
      <c r="AA1" s="145" t="s">
        <v>147</v>
      </c>
      <c r="AB1" s="145" t="s">
        <v>148</v>
      </c>
      <c r="AC1" s="156" t="s">
        <v>149</v>
      </c>
      <c r="AD1" s="142" t="s">
        <v>150</v>
      </c>
      <c r="AE1" s="142" t="s">
        <v>151</v>
      </c>
      <c r="AF1" s="142" t="s">
        <v>93</v>
      </c>
    </row>
    <row r="2" spans="1:36" hidden="1" x14ac:dyDescent="0.2">
      <c r="A2" s="143" t="s">
        <v>152</v>
      </c>
      <c r="B2" s="143" t="s">
        <v>153</v>
      </c>
      <c r="C2" s="143" t="s">
        <v>154</v>
      </c>
      <c r="D2" s="143" t="s">
        <v>155</v>
      </c>
      <c r="E2" s="143" t="s">
        <v>156</v>
      </c>
      <c r="F2" s="165" t="s">
        <v>157</v>
      </c>
      <c r="G2" s="166"/>
      <c r="H2" s="165"/>
      <c r="I2" s="167">
        <v>87300722</v>
      </c>
      <c r="J2" s="165" t="s">
        <v>158</v>
      </c>
      <c r="K2" t="s">
        <v>159</v>
      </c>
      <c r="L2" s="183">
        <v>678.5</v>
      </c>
      <c r="M2" s="184">
        <v>678.5</v>
      </c>
      <c r="N2" s="144">
        <f t="shared" ref="N2:N36" si="0">L2-M2</f>
        <v>0</v>
      </c>
      <c r="O2" s="170"/>
      <c r="P2" s="193">
        <v>68</v>
      </c>
      <c r="Q2" s="144">
        <f t="shared" ref="Q2:Q36" si="1">M2-P2</f>
        <v>610.5</v>
      </c>
      <c r="R2" s="184">
        <v>0</v>
      </c>
      <c r="S2" s="184">
        <v>0</v>
      </c>
      <c r="T2" s="184">
        <v>0</v>
      </c>
      <c r="U2" s="184">
        <v>0</v>
      </c>
      <c r="V2" s="184">
        <v>0</v>
      </c>
      <c r="W2" s="184">
        <v>0</v>
      </c>
      <c r="X2" s="147">
        <v>128</v>
      </c>
      <c r="Y2" s="147">
        <v>0.46</v>
      </c>
      <c r="Z2" s="147">
        <v>20</v>
      </c>
      <c r="AA2" s="147">
        <v>0.31</v>
      </c>
      <c r="AB2" s="147">
        <v>13.39</v>
      </c>
      <c r="AC2" s="157">
        <v>0.10022107590272655</v>
      </c>
      <c r="AD2" s="143"/>
      <c r="AE2" s="143">
        <v>1</v>
      </c>
      <c r="AF2" s="185" t="b">
        <v>0</v>
      </c>
    </row>
    <row r="3" spans="1:36" hidden="1" x14ac:dyDescent="0.2">
      <c r="A3" s="143" t="s">
        <v>152</v>
      </c>
      <c r="B3" s="143" t="s">
        <v>153</v>
      </c>
      <c r="C3" s="143" t="s">
        <v>154</v>
      </c>
      <c r="D3" s="143" t="s">
        <v>155</v>
      </c>
      <c r="E3" s="143" t="s">
        <v>156</v>
      </c>
      <c r="F3" s="165" t="s">
        <v>157</v>
      </c>
      <c r="G3" s="166"/>
      <c r="H3" s="165"/>
      <c r="I3" s="167">
        <v>7271250</v>
      </c>
      <c r="J3" s="165" t="s">
        <v>158</v>
      </c>
      <c r="K3" t="s">
        <v>160</v>
      </c>
      <c r="L3" s="183">
        <v>95.68</v>
      </c>
      <c r="M3" s="184">
        <v>95.68</v>
      </c>
      <c r="N3" s="144">
        <f t="shared" si="0"/>
        <v>0</v>
      </c>
      <c r="O3" s="170"/>
      <c r="P3" s="193">
        <v>10</v>
      </c>
      <c r="Q3" s="144">
        <f t="shared" si="1"/>
        <v>85.68</v>
      </c>
      <c r="R3" s="184">
        <v>0</v>
      </c>
      <c r="S3" s="184">
        <v>0</v>
      </c>
      <c r="T3" s="184">
        <v>0</v>
      </c>
      <c r="U3" s="184">
        <v>0</v>
      </c>
      <c r="V3" s="184">
        <v>0</v>
      </c>
      <c r="W3" s="184">
        <v>0</v>
      </c>
      <c r="X3" s="147">
        <v>128</v>
      </c>
      <c r="Y3" s="147">
        <v>0.46</v>
      </c>
      <c r="Z3" s="147">
        <v>20</v>
      </c>
      <c r="AA3" s="147">
        <v>0.31</v>
      </c>
      <c r="AB3" s="147">
        <v>13.39</v>
      </c>
      <c r="AC3" s="157">
        <v>0.10451505016722407</v>
      </c>
      <c r="AD3" s="143"/>
      <c r="AE3" s="143">
        <f>IF(PRICING[[#This Row],[SKU]]=I2,AE2+1,1)</f>
        <v>1</v>
      </c>
      <c r="AF3" s="185" t="b">
        <v>0</v>
      </c>
    </row>
    <row r="4" spans="1:36" hidden="1" x14ac:dyDescent="0.2">
      <c r="A4" s="143" t="s">
        <v>152</v>
      </c>
      <c r="B4" s="143" t="s">
        <v>161</v>
      </c>
      <c r="C4" s="143" t="s">
        <v>162</v>
      </c>
      <c r="D4" s="143" t="s">
        <v>163</v>
      </c>
      <c r="E4" s="143" t="s">
        <v>164</v>
      </c>
      <c r="F4" s="165" t="s">
        <v>165</v>
      </c>
      <c r="G4" s="169" t="s">
        <v>166</v>
      </c>
      <c r="H4" s="169"/>
      <c r="I4" s="167" t="s">
        <v>46</v>
      </c>
      <c r="J4" s="143" t="s">
        <v>167</v>
      </c>
      <c r="K4" t="s">
        <v>168</v>
      </c>
      <c r="L4" s="141">
        <v>471.04</v>
      </c>
      <c r="M4" s="141">
        <v>471.04</v>
      </c>
      <c r="N4" s="141">
        <v>0</v>
      </c>
      <c r="O4" t="s">
        <v>169</v>
      </c>
      <c r="P4" s="141">
        <v>0</v>
      </c>
      <c r="Q4" s="274">
        <v>471.04</v>
      </c>
      <c r="R4" s="141">
        <v>485.05</v>
      </c>
      <c r="S4" s="141">
        <v>485.05</v>
      </c>
      <c r="T4" s="141">
        <v>485.05</v>
      </c>
      <c r="U4" s="141">
        <v>474.34</v>
      </c>
      <c r="V4" s="141">
        <v>474.34</v>
      </c>
      <c r="W4" s="141">
        <v>474.34</v>
      </c>
      <c r="X4" s="185">
        <v>64</v>
      </c>
      <c r="Y4" s="275">
        <v>0.32</v>
      </c>
      <c r="Z4" s="275">
        <v>13.94</v>
      </c>
      <c r="AA4" s="141">
        <v>2.36</v>
      </c>
      <c r="AB4" s="141">
        <v>102.59</v>
      </c>
      <c r="AC4" s="157">
        <v>0</v>
      </c>
      <c r="AD4" s="276"/>
      <c r="AE4" s="143">
        <f>IF(PRICING[[#This Row],[SKU]]=I3,AE3+1,1)</f>
        <v>1</v>
      </c>
      <c r="AF4" s="185" t="b">
        <v>0</v>
      </c>
      <c r="AJ4" s="186"/>
    </row>
    <row r="5" spans="1:36" hidden="1" x14ac:dyDescent="0.2">
      <c r="A5" s="143" t="s">
        <v>152</v>
      </c>
      <c r="B5" s="143" t="s">
        <v>161</v>
      </c>
      <c r="C5" s="143" t="s">
        <v>162</v>
      </c>
      <c r="D5" s="143" t="s">
        <v>163</v>
      </c>
      <c r="E5" s="143" t="s">
        <v>164</v>
      </c>
      <c r="F5" s="165" t="s">
        <v>165</v>
      </c>
      <c r="G5" s="169" t="s">
        <v>166</v>
      </c>
      <c r="H5" s="169"/>
      <c r="I5" s="167" t="s">
        <v>47</v>
      </c>
      <c r="J5" s="143" t="s">
        <v>167</v>
      </c>
      <c r="K5" t="s">
        <v>168</v>
      </c>
      <c r="L5" s="141">
        <v>471.04</v>
      </c>
      <c r="M5" s="141">
        <v>447.36</v>
      </c>
      <c r="N5" s="141">
        <v>23.680000000000007</v>
      </c>
      <c r="O5" t="s">
        <v>170</v>
      </c>
      <c r="P5" s="141">
        <v>0</v>
      </c>
      <c r="Q5" s="274">
        <v>447.36</v>
      </c>
      <c r="R5" s="141">
        <v>485.05</v>
      </c>
      <c r="S5" s="141">
        <v>460.8</v>
      </c>
      <c r="T5" s="141">
        <v>460.8</v>
      </c>
      <c r="U5" s="141">
        <v>474.34</v>
      </c>
      <c r="V5" s="141">
        <v>450.56</v>
      </c>
      <c r="W5" s="141">
        <v>450.56</v>
      </c>
      <c r="X5" s="185">
        <v>64</v>
      </c>
      <c r="Y5" s="275">
        <v>0.32</v>
      </c>
      <c r="Z5" s="275">
        <v>13.94</v>
      </c>
      <c r="AA5" s="141">
        <v>2.2400000000000002</v>
      </c>
      <c r="AB5" s="141">
        <v>97.44</v>
      </c>
      <c r="AC5" s="157">
        <v>5.0271739130434812E-2</v>
      </c>
      <c r="AD5" s="276"/>
      <c r="AE5" s="143">
        <f>IF(PRICING[[#This Row],[SKU]]=I4,AE4+1,1)</f>
        <v>1</v>
      </c>
      <c r="AF5" s="185" t="b">
        <v>0</v>
      </c>
      <c r="AJ5" s="186"/>
    </row>
    <row r="6" spans="1:36" hidden="1" x14ac:dyDescent="0.2">
      <c r="A6" s="143" t="s">
        <v>152</v>
      </c>
      <c r="B6" s="143" t="s">
        <v>161</v>
      </c>
      <c r="C6" s="143" t="s">
        <v>162</v>
      </c>
      <c r="D6" s="143" t="s">
        <v>163</v>
      </c>
      <c r="E6" s="143" t="s">
        <v>164</v>
      </c>
      <c r="F6" s="165" t="s">
        <v>165</v>
      </c>
      <c r="G6" s="169" t="s">
        <v>166</v>
      </c>
      <c r="H6" s="169"/>
      <c r="I6" s="167" t="s">
        <v>48</v>
      </c>
      <c r="J6" s="143" t="s">
        <v>167</v>
      </c>
      <c r="K6" t="s">
        <v>168</v>
      </c>
      <c r="L6" s="141">
        <v>471.04</v>
      </c>
      <c r="M6" s="141">
        <v>423.68</v>
      </c>
      <c r="N6" s="141">
        <v>47.360000000000014</v>
      </c>
      <c r="O6" t="s">
        <v>171</v>
      </c>
      <c r="P6" s="141">
        <v>0</v>
      </c>
      <c r="Q6" s="274">
        <v>423.68</v>
      </c>
      <c r="R6" s="141">
        <v>485.05</v>
      </c>
      <c r="S6" s="141">
        <v>436.48</v>
      </c>
      <c r="T6" s="141">
        <v>436.48</v>
      </c>
      <c r="U6" s="141">
        <v>474.34</v>
      </c>
      <c r="V6" s="141">
        <v>426.88</v>
      </c>
      <c r="W6" s="141">
        <v>426.88</v>
      </c>
      <c r="X6" s="185">
        <v>64</v>
      </c>
      <c r="Y6" s="275">
        <v>0.32</v>
      </c>
      <c r="Z6" s="275">
        <v>13.94</v>
      </c>
      <c r="AA6" s="141">
        <v>2.12</v>
      </c>
      <c r="AB6" s="141">
        <v>92.28</v>
      </c>
      <c r="AC6" s="157">
        <v>0.10054347826086962</v>
      </c>
      <c r="AD6" s="276"/>
      <c r="AE6" s="143">
        <f>IF(PRICING[[#This Row],[SKU]]=I5,AE5+1,1)</f>
        <v>1</v>
      </c>
      <c r="AF6" s="185" t="b">
        <v>0</v>
      </c>
      <c r="AJ6" s="189"/>
    </row>
    <row r="7" spans="1:36" hidden="1" x14ac:dyDescent="0.2">
      <c r="A7" s="143" t="s">
        <v>152</v>
      </c>
      <c r="B7" s="143" t="s">
        <v>153</v>
      </c>
      <c r="C7" s="143" t="s">
        <v>172</v>
      </c>
      <c r="D7" s="143" t="s">
        <v>163</v>
      </c>
      <c r="E7" s="143" t="s">
        <v>173</v>
      </c>
      <c r="F7" s="165" t="s">
        <v>157</v>
      </c>
      <c r="G7" s="168" t="s">
        <v>174</v>
      </c>
      <c r="H7" s="168"/>
      <c r="I7" s="167" t="s">
        <v>68</v>
      </c>
      <c r="J7" s="165" t="s">
        <v>175</v>
      </c>
      <c r="K7" t="s">
        <v>176</v>
      </c>
      <c r="L7" s="183">
        <v>116.28</v>
      </c>
      <c r="M7" s="184">
        <v>116.28</v>
      </c>
      <c r="N7" s="144">
        <f t="shared" si="0"/>
        <v>0</v>
      </c>
      <c r="O7" s="170"/>
      <c r="P7" s="193">
        <v>0</v>
      </c>
      <c r="Q7" s="144">
        <f t="shared" si="1"/>
        <v>116.28</v>
      </c>
      <c r="R7" s="184">
        <v>0</v>
      </c>
      <c r="S7" s="184">
        <v>0</v>
      </c>
      <c r="T7" s="184">
        <v>0</v>
      </c>
      <c r="U7" s="184">
        <v>0</v>
      </c>
      <c r="V7" s="184">
        <v>0</v>
      </c>
      <c r="W7" s="184">
        <v>0</v>
      </c>
      <c r="X7" s="147">
        <v>31</v>
      </c>
      <c r="Y7" s="147">
        <v>0.5</v>
      </c>
      <c r="Z7" s="147">
        <v>21.78</v>
      </c>
      <c r="AA7" s="147">
        <v>1.88</v>
      </c>
      <c r="AB7" s="147">
        <v>81.7</v>
      </c>
      <c r="AC7" s="157">
        <v>0</v>
      </c>
      <c r="AD7" s="143"/>
      <c r="AE7" s="143">
        <f>IF(PRICING[[#This Row],[SKU]]=I6,AE6+1,1)</f>
        <v>1</v>
      </c>
      <c r="AF7" s="185" t="b">
        <v>0</v>
      </c>
    </row>
    <row r="8" spans="1:36" hidden="1" x14ac:dyDescent="0.2">
      <c r="A8" s="143" t="s">
        <v>152</v>
      </c>
      <c r="B8" s="143" t="s">
        <v>153</v>
      </c>
      <c r="C8" s="143" t="s">
        <v>154</v>
      </c>
      <c r="D8" s="143" t="s">
        <v>177</v>
      </c>
      <c r="E8" s="143" t="s">
        <v>156</v>
      </c>
      <c r="F8" s="165" t="s">
        <v>157</v>
      </c>
      <c r="G8" s="166"/>
      <c r="H8" s="165"/>
      <c r="I8" s="167">
        <v>11008351</v>
      </c>
      <c r="J8" s="165" t="s">
        <v>178</v>
      </c>
      <c r="K8" t="s">
        <v>179</v>
      </c>
      <c r="L8" s="183">
        <v>141.83000000000001</v>
      </c>
      <c r="M8" s="184">
        <v>141.83000000000001</v>
      </c>
      <c r="N8" s="144">
        <f t="shared" si="0"/>
        <v>0</v>
      </c>
      <c r="O8" s="170"/>
      <c r="P8" s="193">
        <v>20</v>
      </c>
      <c r="Q8" s="144">
        <f t="shared" si="1"/>
        <v>121.83000000000001</v>
      </c>
      <c r="R8" s="184">
        <v>0</v>
      </c>
      <c r="S8" s="184">
        <v>0</v>
      </c>
      <c r="T8" s="184">
        <v>0</v>
      </c>
      <c r="U8" s="184">
        <v>0</v>
      </c>
      <c r="V8" s="184">
        <v>0</v>
      </c>
      <c r="W8" s="184">
        <v>0</v>
      </c>
      <c r="X8" s="147">
        <v>8</v>
      </c>
      <c r="Y8" s="147">
        <v>0.15</v>
      </c>
      <c r="Z8" s="147">
        <v>6.5</v>
      </c>
      <c r="AA8" s="147">
        <v>2.27</v>
      </c>
      <c r="AB8" s="147">
        <v>98.99</v>
      </c>
      <c r="AC8" s="157">
        <v>0.141013889868152</v>
      </c>
      <c r="AD8" s="143"/>
      <c r="AE8" s="143">
        <f>IF(PRICING[[#This Row],[SKU]]=I7,AE7+1,1)</f>
        <v>1</v>
      </c>
      <c r="AF8" s="185" t="b">
        <v>0</v>
      </c>
    </row>
    <row r="9" spans="1:36" hidden="1" x14ac:dyDescent="0.2">
      <c r="A9" s="143" t="s">
        <v>152</v>
      </c>
      <c r="B9" s="143" t="s">
        <v>161</v>
      </c>
      <c r="C9" s="143" t="s">
        <v>154</v>
      </c>
      <c r="D9" s="143" t="s">
        <v>177</v>
      </c>
      <c r="E9" s="143" t="s">
        <v>156</v>
      </c>
      <c r="F9" s="165" t="s">
        <v>180</v>
      </c>
      <c r="G9" s="166"/>
      <c r="H9" s="167">
        <v>79714858</v>
      </c>
      <c r="I9" s="167" t="s">
        <v>49</v>
      </c>
      <c r="J9" s="143" t="s">
        <v>181</v>
      </c>
      <c r="K9" t="s">
        <v>182</v>
      </c>
      <c r="L9" s="190">
        <v>137.19999999999999</v>
      </c>
      <c r="M9" s="184">
        <v>133.19999999999999</v>
      </c>
      <c r="N9" s="144">
        <f t="shared" si="0"/>
        <v>4</v>
      </c>
      <c r="O9" s="194" t="s">
        <v>183</v>
      </c>
      <c r="P9" s="195">
        <v>0</v>
      </c>
      <c r="Q9" s="144">
        <f t="shared" si="1"/>
        <v>133.19999999999999</v>
      </c>
      <c r="R9" s="184">
        <v>141.28</v>
      </c>
      <c r="S9" s="184">
        <v>137.19999999999999</v>
      </c>
      <c r="T9" s="184">
        <v>137.19999999999999</v>
      </c>
      <c r="U9" s="184">
        <v>138.16</v>
      </c>
      <c r="V9" s="184">
        <v>134.1</v>
      </c>
      <c r="W9" s="184">
        <v>134.1</v>
      </c>
      <c r="X9" s="147">
        <v>10</v>
      </c>
      <c r="Y9" s="147">
        <v>0.08</v>
      </c>
      <c r="Z9" s="147">
        <v>3.7</v>
      </c>
      <c r="AA9" s="147">
        <v>1.1299999999999999</v>
      </c>
      <c r="AB9" s="147">
        <v>49.28</v>
      </c>
      <c r="AC9" s="157">
        <v>2.9154518950437525E-2</v>
      </c>
      <c r="AD9" s="143"/>
      <c r="AE9" s="143">
        <f>IF(PRICING[[#This Row],[SKU]]=I8,AE8+1,1)</f>
        <v>1</v>
      </c>
      <c r="AF9" s="185" t="b">
        <v>1</v>
      </c>
    </row>
    <row r="10" spans="1:36" hidden="1" x14ac:dyDescent="0.2">
      <c r="A10" s="143" t="s">
        <v>152</v>
      </c>
      <c r="B10" s="143" t="s">
        <v>161</v>
      </c>
      <c r="C10" s="143" t="s">
        <v>154</v>
      </c>
      <c r="D10" s="143" t="s">
        <v>177</v>
      </c>
      <c r="E10" s="143" t="s">
        <v>156</v>
      </c>
      <c r="F10" s="165" t="s">
        <v>180</v>
      </c>
      <c r="G10" s="166"/>
      <c r="H10" s="167">
        <v>79714858</v>
      </c>
      <c r="I10" s="167" t="s">
        <v>49</v>
      </c>
      <c r="J10" s="143" t="s">
        <v>181</v>
      </c>
      <c r="K10" t="s">
        <v>182</v>
      </c>
      <c r="L10" s="190">
        <v>137.19999999999999</v>
      </c>
      <c r="M10" s="184">
        <v>133.19999999999999</v>
      </c>
      <c r="N10" s="144">
        <f t="shared" si="0"/>
        <v>4</v>
      </c>
      <c r="O10" s="196" t="s">
        <v>184</v>
      </c>
      <c r="P10" s="197">
        <v>5</v>
      </c>
      <c r="Q10" s="144">
        <f t="shared" si="1"/>
        <v>128.19999999999999</v>
      </c>
      <c r="R10" s="184">
        <v>141.28</v>
      </c>
      <c r="S10" s="184">
        <v>137.19999999999999</v>
      </c>
      <c r="T10" s="184">
        <v>132.19999999999999</v>
      </c>
      <c r="U10" s="184">
        <v>138.16</v>
      </c>
      <c r="V10" s="184">
        <v>134.1</v>
      </c>
      <c r="W10" s="184">
        <v>129.1</v>
      </c>
      <c r="X10" s="147">
        <v>10</v>
      </c>
      <c r="Y10" s="147">
        <v>0.08</v>
      </c>
      <c r="Z10" s="147">
        <v>3.7</v>
      </c>
      <c r="AA10" s="147">
        <v>1.0900000000000001</v>
      </c>
      <c r="AB10" s="147">
        <v>47.43</v>
      </c>
      <c r="AC10" s="157">
        <v>6.5597667638484181E-2</v>
      </c>
      <c r="AD10" s="143"/>
      <c r="AE10" s="143">
        <f>IF(PRICING[[#This Row],[SKU]]=I9,AE9+1,1)</f>
        <v>2</v>
      </c>
      <c r="AF10" s="185" t="b">
        <v>1</v>
      </c>
    </row>
    <row r="11" spans="1:36" hidden="1" x14ac:dyDescent="0.2">
      <c r="A11" s="143" t="s">
        <v>152</v>
      </c>
      <c r="B11" s="143" t="s">
        <v>161</v>
      </c>
      <c r="C11" s="143" t="s">
        <v>154</v>
      </c>
      <c r="D11" s="143" t="s">
        <v>177</v>
      </c>
      <c r="E11" s="143" t="s">
        <v>156</v>
      </c>
      <c r="F11" s="143" t="s">
        <v>157</v>
      </c>
      <c r="G11" s="169" t="s">
        <v>185</v>
      </c>
      <c r="H11" s="169"/>
      <c r="I11" s="167" t="s">
        <v>50</v>
      </c>
      <c r="J11" s="143" t="s">
        <v>186</v>
      </c>
      <c r="K11" t="s">
        <v>182</v>
      </c>
      <c r="L11" s="183">
        <v>165.3</v>
      </c>
      <c r="M11" s="184">
        <v>165.3</v>
      </c>
      <c r="N11" s="144">
        <f t="shared" si="0"/>
        <v>0</v>
      </c>
      <c r="O11" s="170" t="s">
        <v>169</v>
      </c>
      <c r="P11" s="193">
        <v>0</v>
      </c>
      <c r="Q11" s="144">
        <f t="shared" si="1"/>
        <v>165.3</v>
      </c>
      <c r="R11" s="184">
        <v>0</v>
      </c>
      <c r="S11" s="184">
        <v>0</v>
      </c>
      <c r="T11" s="184">
        <v>0</v>
      </c>
      <c r="U11" s="184">
        <v>166.46</v>
      </c>
      <c r="V11" s="184">
        <v>166.46</v>
      </c>
      <c r="W11" s="184">
        <v>166.46</v>
      </c>
      <c r="X11" s="147">
        <v>10</v>
      </c>
      <c r="Y11" s="147">
        <v>0.17</v>
      </c>
      <c r="Z11" s="147">
        <v>7.5</v>
      </c>
      <c r="AA11" s="147">
        <v>2.85</v>
      </c>
      <c r="AB11" s="147">
        <v>123.98</v>
      </c>
      <c r="AC11" s="157">
        <v>0</v>
      </c>
      <c r="AD11" s="143"/>
      <c r="AE11" s="143">
        <f>IF(PRICING[[#This Row],[SKU]]=I10,AE10+1,1)</f>
        <v>1</v>
      </c>
      <c r="AF11" s="185" t="b">
        <v>0</v>
      </c>
    </row>
    <row r="12" spans="1:36" hidden="1" x14ac:dyDescent="0.2">
      <c r="A12" s="143" t="s">
        <v>152</v>
      </c>
      <c r="B12" s="143" t="s">
        <v>161</v>
      </c>
      <c r="C12" s="143" t="s">
        <v>154</v>
      </c>
      <c r="D12" s="143" t="s">
        <v>177</v>
      </c>
      <c r="E12" s="143" t="s">
        <v>156</v>
      </c>
      <c r="F12" s="143" t="s">
        <v>157</v>
      </c>
      <c r="G12" s="169" t="s">
        <v>185</v>
      </c>
      <c r="H12" s="169"/>
      <c r="I12" s="167" t="s">
        <v>50</v>
      </c>
      <c r="J12" s="143" t="s">
        <v>186</v>
      </c>
      <c r="K12" t="s">
        <v>182</v>
      </c>
      <c r="L12" s="183">
        <v>165.3</v>
      </c>
      <c r="M12" s="184">
        <v>165.3</v>
      </c>
      <c r="N12" s="144">
        <f t="shared" si="0"/>
        <v>0</v>
      </c>
      <c r="O12" s="170" t="s">
        <v>184</v>
      </c>
      <c r="P12" s="195">
        <v>7</v>
      </c>
      <c r="Q12" s="144">
        <f t="shared" si="1"/>
        <v>158.30000000000001</v>
      </c>
      <c r="R12" s="184">
        <v>0</v>
      </c>
      <c r="S12" s="184">
        <v>0</v>
      </c>
      <c r="T12" s="184">
        <v>0</v>
      </c>
      <c r="U12" s="184">
        <v>166.46</v>
      </c>
      <c r="V12" s="184">
        <v>166.46</v>
      </c>
      <c r="W12" s="184">
        <v>159.46</v>
      </c>
      <c r="X12" s="147">
        <v>10</v>
      </c>
      <c r="Y12" s="147">
        <v>0.17</v>
      </c>
      <c r="Z12" s="147">
        <v>7.5</v>
      </c>
      <c r="AA12" s="147">
        <v>2.73</v>
      </c>
      <c r="AB12" s="147">
        <v>118.73</v>
      </c>
      <c r="AC12" s="157">
        <v>4.2347247428917156E-2</v>
      </c>
      <c r="AD12" s="143"/>
      <c r="AE12" s="143">
        <f>IF(PRICING[[#This Row],[SKU]]=I11,AE11+1,1)</f>
        <v>2</v>
      </c>
      <c r="AF12" s="185" t="b">
        <v>0</v>
      </c>
    </row>
    <row r="13" spans="1:36" hidden="1" x14ac:dyDescent="0.2">
      <c r="A13" s="143" t="s">
        <v>187</v>
      </c>
      <c r="B13" s="143" t="s">
        <v>153</v>
      </c>
      <c r="C13" s="143" t="s">
        <v>154</v>
      </c>
      <c r="D13" s="143" t="s">
        <v>177</v>
      </c>
      <c r="E13" s="143" t="s">
        <v>156</v>
      </c>
      <c r="F13" s="165" t="s">
        <v>157</v>
      </c>
      <c r="G13" s="166"/>
      <c r="H13" s="165"/>
      <c r="I13" s="167">
        <v>11008357</v>
      </c>
      <c r="J13" s="165" t="s">
        <v>188</v>
      </c>
      <c r="K13" t="s">
        <v>189</v>
      </c>
      <c r="L13" s="183">
        <v>68.13</v>
      </c>
      <c r="M13" s="184">
        <v>61.32</v>
      </c>
      <c r="N13" s="144">
        <f t="shared" si="0"/>
        <v>6.8099999999999952</v>
      </c>
      <c r="O13" s="170"/>
      <c r="P13" s="197">
        <v>18</v>
      </c>
      <c r="Q13" s="144">
        <f t="shared" si="1"/>
        <v>43.32</v>
      </c>
      <c r="R13" s="184">
        <v>70.16</v>
      </c>
      <c r="S13" s="184">
        <v>63.35</v>
      </c>
      <c r="T13" s="184">
        <v>45.35</v>
      </c>
      <c r="U13" s="184">
        <v>0</v>
      </c>
      <c r="V13" s="184">
        <v>0</v>
      </c>
      <c r="W13" s="184">
        <v>0</v>
      </c>
      <c r="X13" s="147">
        <v>6</v>
      </c>
      <c r="Y13" s="147">
        <v>0.22</v>
      </c>
      <c r="Z13" s="147">
        <v>9.5</v>
      </c>
      <c r="AA13" s="147">
        <v>1.82</v>
      </c>
      <c r="AB13" s="147">
        <v>79.36</v>
      </c>
      <c r="AC13" s="157">
        <v>0.36415675913694401</v>
      </c>
      <c r="AD13" s="143"/>
      <c r="AE13" s="143">
        <f>IF(PRICING[[#This Row],[SKU]]=I12,AE12+1,1)</f>
        <v>1</v>
      </c>
      <c r="AF13" s="185" t="b">
        <v>0</v>
      </c>
    </row>
    <row r="14" spans="1:36" hidden="1" x14ac:dyDescent="0.2">
      <c r="A14" s="143" t="s">
        <v>187</v>
      </c>
      <c r="B14" s="143" t="s">
        <v>161</v>
      </c>
      <c r="C14" s="143" t="s">
        <v>162</v>
      </c>
      <c r="D14" s="143" t="s">
        <v>163</v>
      </c>
      <c r="E14" s="143" t="s">
        <v>156</v>
      </c>
      <c r="F14" s="165" t="s">
        <v>157</v>
      </c>
      <c r="G14" s="166"/>
      <c r="H14" s="165"/>
      <c r="I14" s="167">
        <v>11008409</v>
      </c>
      <c r="J14" s="143" t="s">
        <v>190</v>
      </c>
      <c r="K14" t="s">
        <v>182</v>
      </c>
      <c r="L14" s="183">
        <v>99.1</v>
      </c>
      <c r="M14" s="184">
        <v>94.3</v>
      </c>
      <c r="N14" s="144">
        <f t="shared" si="0"/>
        <v>4.7999999999999972</v>
      </c>
      <c r="O14" s="196"/>
      <c r="P14" s="197">
        <v>5</v>
      </c>
      <c r="Q14" s="144">
        <f t="shared" si="1"/>
        <v>89.3</v>
      </c>
      <c r="R14" s="184">
        <v>0</v>
      </c>
      <c r="S14" s="184">
        <v>0</v>
      </c>
      <c r="T14" s="184">
        <v>0</v>
      </c>
      <c r="U14" s="184">
        <v>99.79</v>
      </c>
      <c r="V14" s="184">
        <v>95</v>
      </c>
      <c r="W14" s="184">
        <v>90</v>
      </c>
      <c r="X14" s="147">
        <v>10</v>
      </c>
      <c r="Y14" s="147">
        <v>0.23</v>
      </c>
      <c r="Z14" s="147">
        <v>10.199999999999999</v>
      </c>
      <c r="AA14" s="147">
        <v>2.09</v>
      </c>
      <c r="AB14" s="147">
        <v>91.09</v>
      </c>
      <c r="AC14" s="157">
        <v>9.8890010090817326E-2</v>
      </c>
      <c r="AD14" s="143"/>
      <c r="AE14" s="143">
        <f>IF(PRICING[[#This Row],[SKU]]=I13,AE13+1,1)</f>
        <v>1</v>
      </c>
      <c r="AF14" s="185" t="b">
        <v>0</v>
      </c>
    </row>
    <row r="15" spans="1:36" hidden="1" x14ac:dyDescent="0.2">
      <c r="A15" s="143" t="s">
        <v>187</v>
      </c>
      <c r="B15" s="143" t="s">
        <v>161</v>
      </c>
      <c r="C15" s="143" t="s">
        <v>162</v>
      </c>
      <c r="D15" s="143" t="s">
        <v>163</v>
      </c>
      <c r="E15" s="143" t="s">
        <v>156</v>
      </c>
      <c r="F15" s="165" t="s">
        <v>157</v>
      </c>
      <c r="G15" s="166"/>
      <c r="H15" s="165"/>
      <c r="I15" s="167">
        <v>11008589</v>
      </c>
      <c r="J15" s="143" t="s">
        <v>190</v>
      </c>
      <c r="K15" t="s">
        <v>191</v>
      </c>
      <c r="L15" s="183">
        <v>528</v>
      </c>
      <c r="M15" s="184">
        <v>512.4</v>
      </c>
      <c r="N15" s="144">
        <f t="shared" si="0"/>
        <v>15.600000000000023</v>
      </c>
      <c r="O15" s="196" t="s">
        <v>192</v>
      </c>
      <c r="P15" s="197">
        <v>24</v>
      </c>
      <c r="Q15" s="144">
        <f t="shared" si="1"/>
        <v>488.4</v>
      </c>
      <c r="R15" s="184">
        <v>0</v>
      </c>
      <c r="S15" s="184">
        <v>0</v>
      </c>
      <c r="T15" s="184">
        <v>0</v>
      </c>
      <c r="U15" s="184">
        <v>531.70000000000005</v>
      </c>
      <c r="V15" s="184">
        <v>516</v>
      </c>
      <c r="W15" s="184">
        <v>492</v>
      </c>
      <c r="X15" s="147">
        <v>60</v>
      </c>
      <c r="Y15" s="147">
        <v>0.23</v>
      </c>
      <c r="Z15" s="147">
        <v>10.199999999999999</v>
      </c>
      <c r="AA15" s="147">
        <v>1.91</v>
      </c>
      <c r="AB15" s="147">
        <v>83.03</v>
      </c>
      <c r="AC15" s="157">
        <v>7.5000000000000067E-2</v>
      </c>
      <c r="AD15" s="143"/>
      <c r="AE15" s="143">
        <f>IF(PRICING[[#This Row],[SKU]]=I14,AE14+1,1)</f>
        <v>1</v>
      </c>
      <c r="AF15" s="185" t="b">
        <v>0</v>
      </c>
    </row>
    <row r="16" spans="1:36" hidden="1" x14ac:dyDescent="0.2">
      <c r="A16" s="143" t="s">
        <v>187</v>
      </c>
      <c r="B16" s="143" t="s">
        <v>161</v>
      </c>
      <c r="C16" s="143" t="s">
        <v>162</v>
      </c>
      <c r="D16" s="143" t="s">
        <v>163</v>
      </c>
      <c r="E16" s="143" t="s">
        <v>156</v>
      </c>
      <c r="F16" s="143" t="s">
        <v>157</v>
      </c>
      <c r="G16" s="166"/>
      <c r="H16" s="165"/>
      <c r="I16" s="167">
        <v>11008589</v>
      </c>
      <c r="J16" t="s">
        <v>190</v>
      </c>
      <c r="K16" t="s">
        <v>191</v>
      </c>
      <c r="L16" s="183">
        <v>528</v>
      </c>
      <c r="M16" s="184">
        <v>512.4</v>
      </c>
      <c r="N16" s="144">
        <f t="shared" si="0"/>
        <v>15.600000000000023</v>
      </c>
      <c r="O16" s="198" t="s">
        <v>193</v>
      </c>
      <c r="P16" s="197">
        <v>58</v>
      </c>
      <c r="Q16" s="144">
        <f t="shared" si="1"/>
        <v>454.4</v>
      </c>
      <c r="R16" s="184">
        <v>0</v>
      </c>
      <c r="S16" s="184">
        <v>0</v>
      </c>
      <c r="T16" s="184">
        <v>0</v>
      </c>
      <c r="U16" s="184">
        <v>531.70000000000005</v>
      </c>
      <c r="V16" s="184">
        <v>516</v>
      </c>
      <c r="W16" s="184">
        <v>458</v>
      </c>
      <c r="X16" s="147">
        <v>60</v>
      </c>
      <c r="Y16" s="147">
        <v>0.23</v>
      </c>
      <c r="Z16" s="147">
        <v>10.199999999999999</v>
      </c>
      <c r="AA16" s="147">
        <v>1.77</v>
      </c>
      <c r="AB16" s="147">
        <v>77.25</v>
      </c>
      <c r="AC16" s="157">
        <v>0.1393939393939394</v>
      </c>
      <c r="AD16" s="143"/>
      <c r="AE16" s="143">
        <f>IF(PRICING[[#This Row],[SKU]]=I15,AE15+1,1)</f>
        <v>2</v>
      </c>
      <c r="AF16" s="185" t="b">
        <v>0</v>
      </c>
    </row>
    <row r="17" spans="1:32" hidden="1" x14ac:dyDescent="0.2">
      <c r="A17" s="143" t="s">
        <v>187</v>
      </c>
      <c r="B17" s="143" t="s">
        <v>153</v>
      </c>
      <c r="C17" s="143" t="s">
        <v>154</v>
      </c>
      <c r="D17" s="143" t="s">
        <v>177</v>
      </c>
      <c r="E17" s="143" t="s">
        <v>156</v>
      </c>
      <c r="F17" s="165" t="s">
        <v>157</v>
      </c>
      <c r="G17" s="166"/>
      <c r="H17" s="165"/>
      <c r="I17" s="167">
        <v>11008474</v>
      </c>
      <c r="J17" s="165" t="s">
        <v>194</v>
      </c>
      <c r="K17" t="s">
        <v>195</v>
      </c>
      <c r="L17" s="183">
        <v>158.66</v>
      </c>
      <c r="M17" s="184">
        <v>158.66</v>
      </c>
      <c r="N17" s="144">
        <f t="shared" si="0"/>
        <v>0</v>
      </c>
      <c r="O17" s="170"/>
      <c r="P17" s="197">
        <v>25</v>
      </c>
      <c r="Q17" s="144">
        <f t="shared" si="1"/>
        <v>133.66</v>
      </c>
      <c r="R17" s="184">
        <v>0</v>
      </c>
      <c r="S17" s="184">
        <v>0</v>
      </c>
      <c r="T17" s="184">
        <v>0</v>
      </c>
      <c r="U17" s="184">
        <v>0</v>
      </c>
      <c r="V17" s="184">
        <v>0</v>
      </c>
      <c r="W17" s="184">
        <v>0</v>
      </c>
      <c r="X17" s="147">
        <v>16</v>
      </c>
      <c r="Y17" s="147">
        <v>0.22</v>
      </c>
      <c r="Z17" s="147">
        <v>9.5</v>
      </c>
      <c r="AA17" s="147">
        <v>1.82</v>
      </c>
      <c r="AB17" s="147">
        <v>79.36</v>
      </c>
      <c r="AC17" s="157">
        <v>0.15756964578343624</v>
      </c>
      <c r="AD17" s="143"/>
      <c r="AE17" s="143">
        <f>IF(PRICING[[#This Row],[SKU]]=I16,AE16+1,1)</f>
        <v>1</v>
      </c>
      <c r="AF17" s="185" t="b">
        <v>0</v>
      </c>
    </row>
    <row r="18" spans="1:32" hidden="1" x14ac:dyDescent="0.2">
      <c r="A18" s="143" t="s">
        <v>187</v>
      </c>
      <c r="B18" s="143" t="s">
        <v>153</v>
      </c>
      <c r="C18" s="143" t="s">
        <v>154</v>
      </c>
      <c r="D18" s="143" t="s">
        <v>163</v>
      </c>
      <c r="E18" s="143" t="s">
        <v>156</v>
      </c>
      <c r="F18" s="165" t="s">
        <v>157</v>
      </c>
      <c r="G18" s="166"/>
      <c r="H18" s="165"/>
      <c r="I18" s="167">
        <v>11008475</v>
      </c>
      <c r="J18" s="165" t="s">
        <v>196</v>
      </c>
      <c r="K18" t="s">
        <v>189</v>
      </c>
      <c r="L18" s="183">
        <v>68.13</v>
      </c>
      <c r="M18" s="184">
        <v>61.32</v>
      </c>
      <c r="N18" s="144">
        <f t="shared" si="0"/>
        <v>6.8099999999999952</v>
      </c>
      <c r="O18" s="170"/>
      <c r="P18" s="197">
        <v>18</v>
      </c>
      <c r="Q18" s="144">
        <f t="shared" si="1"/>
        <v>43.32</v>
      </c>
      <c r="R18" s="184">
        <v>0</v>
      </c>
      <c r="S18" s="184">
        <v>0</v>
      </c>
      <c r="T18" s="184">
        <v>0</v>
      </c>
      <c r="U18" s="184">
        <v>0</v>
      </c>
      <c r="V18" s="184">
        <v>0</v>
      </c>
      <c r="W18" s="184">
        <v>0</v>
      </c>
      <c r="X18" s="147">
        <v>6</v>
      </c>
      <c r="Y18" s="147">
        <v>0.18</v>
      </c>
      <c r="Z18" s="147">
        <v>8</v>
      </c>
      <c r="AA18" s="147">
        <v>1.33</v>
      </c>
      <c r="AB18" s="147">
        <v>57.76</v>
      </c>
      <c r="AC18" s="157">
        <v>0.36415675913694401</v>
      </c>
      <c r="AD18" s="143"/>
      <c r="AE18" s="143">
        <f>IF(PRICING[[#This Row],[SKU]]=I17,AE17+1,1)</f>
        <v>1</v>
      </c>
      <c r="AF18" s="185" t="b">
        <v>0</v>
      </c>
    </row>
    <row r="19" spans="1:32" hidden="1" x14ac:dyDescent="0.2">
      <c r="A19" s="143" t="s">
        <v>187</v>
      </c>
      <c r="B19" s="143" t="s">
        <v>153</v>
      </c>
      <c r="C19" s="143" t="s">
        <v>154</v>
      </c>
      <c r="D19" s="143" t="s">
        <v>163</v>
      </c>
      <c r="E19" s="143" t="s">
        <v>156</v>
      </c>
      <c r="F19" s="165" t="s">
        <v>157</v>
      </c>
      <c r="G19" s="166"/>
      <c r="H19" s="165"/>
      <c r="I19" s="167">
        <v>11008336</v>
      </c>
      <c r="J19" s="165" t="s">
        <v>196</v>
      </c>
      <c r="K19" t="s">
        <v>168</v>
      </c>
      <c r="L19" s="183">
        <v>302.88</v>
      </c>
      <c r="M19" s="184">
        <v>272.58999999999997</v>
      </c>
      <c r="N19" s="144">
        <f t="shared" si="0"/>
        <v>30.29000000000002</v>
      </c>
      <c r="O19" s="170"/>
      <c r="P19" s="197">
        <v>40</v>
      </c>
      <c r="Q19" s="144">
        <f t="shared" si="1"/>
        <v>232.58999999999997</v>
      </c>
      <c r="R19" s="184">
        <v>0</v>
      </c>
      <c r="S19" s="184">
        <v>0</v>
      </c>
      <c r="T19" s="184">
        <v>0</v>
      </c>
      <c r="U19" s="184">
        <v>0</v>
      </c>
      <c r="V19" s="184">
        <v>0</v>
      </c>
      <c r="W19" s="184">
        <v>0</v>
      </c>
      <c r="X19" s="147">
        <v>64</v>
      </c>
      <c r="Y19" s="147">
        <v>0.18</v>
      </c>
      <c r="Z19" s="147">
        <v>8</v>
      </c>
      <c r="AA19" s="147">
        <v>0.67</v>
      </c>
      <c r="AB19" s="147">
        <v>29.07</v>
      </c>
      <c r="AC19" s="157">
        <v>0.23207210776545173</v>
      </c>
      <c r="AD19" s="143"/>
      <c r="AE19" s="143">
        <f>IF(PRICING[[#This Row],[SKU]]=I18,AE18+1,1)</f>
        <v>1</v>
      </c>
      <c r="AF19" s="185" t="b">
        <v>0</v>
      </c>
    </row>
    <row r="20" spans="1:32" hidden="1" x14ac:dyDescent="0.2">
      <c r="A20" s="143" t="s">
        <v>187</v>
      </c>
      <c r="B20" s="143" t="s">
        <v>153</v>
      </c>
      <c r="C20" s="143" t="s">
        <v>154</v>
      </c>
      <c r="D20" s="143" t="s">
        <v>163</v>
      </c>
      <c r="E20" s="143" t="s">
        <v>164</v>
      </c>
      <c r="F20" s="165" t="s">
        <v>157</v>
      </c>
      <c r="G20" s="170"/>
      <c r="H20" s="143"/>
      <c r="I20" s="167" t="s">
        <v>69</v>
      </c>
      <c r="J20" s="165" t="s">
        <v>197</v>
      </c>
      <c r="K20" t="s">
        <v>198</v>
      </c>
      <c r="L20" s="183">
        <v>20</v>
      </c>
      <c r="M20" s="184">
        <v>20</v>
      </c>
      <c r="N20" s="144">
        <f t="shared" si="0"/>
        <v>0</v>
      </c>
      <c r="O20" s="170"/>
      <c r="P20" s="195">
        <v>2.5</v>
      </c>
      <c r="Q20" s="144">
        <f t="shared" si="1"/>
        <v>17.5</v>
      </c>
      <c r="R20" s="184">
        <v>0</v>
      </c>
      <c r="S20" s="184">
        <v>0</v>
      </c>
      <c r="T20" s="184">
        <v>0</v>
      </c>
      <c r="U20" s="184">
        <v>0</v>
      </c>
      <c r="V20" s="184">
        <v>0</v>
      </c>
      <c r="W20" s="184">
        <v>0</v>
      </c>
      <c r="X20" s="147">
        <v>50</v>
      </c>
      <c r="Y20" s="147">
        <v>4.0199999999999996</v>
      </c>
      <c r="Z20" s="147">
        <v>175</v>
      </c>
      <c r="AA20" s="147">
        <v>1.41</v>
      </c>
      <c r="AB20" s="147">
        <v>61.25</v>
      </c>
      <c r="AC20" s="157">
        <v>0.125</v>
      </c>
      <c r="AD20" s="143"/>
      <c r="AE20" s="143">
        <f>IF(PRICING[[#This Row],[SKU]]=I19,AE19+1,1)</f>
        <v>1</v>
      </c>
      <c r="AF20" s="185" t="b">
        <v>0</v>
      </c>
    </row>
    <row r="21" spans="1:32" hidden="1" x14ac:dyDescent="0.2">
      <c r="A21" s="143" t="s">
        <v>187</v>
      </c>
      <c r="B21" s="143" t="s">
        <v>153</v>
      </c>
      <c r="C21" s="143" t="s">
        <v>154</v>
      </c>
      <c r="D21" s="143" t="s">
        <v>163</v>
      </c>
      <c r="E21" s="143" t="s">
        <v>164</v>
      </c>
      <c r="F21" s="143" t="s">
        <v>157</v>
      </c>
      <c r="G21" s="170"/>
      <c r="H21" s="143"/>
      <c r="I21" s="167" t="s">
        <v>70</v>
      </c>
      <c r="J21" s="165" t="s">
        <v>199</v>
      </c>
      <c r="K21" t="s">
        <v>198</v>
      </c>
      <c r="L21" s="183">
        <v>25</v>
      </c>
      <c r="M21" s="184">
        <v>25</v>
      </c>
      <c r="N21" s="144">
        <f t="shared" si="0"/>
        <v>0</v>
      </c>
      <c r="O21" s="170"/>
      <c r="P21" s="195">
        <v>5.5</v>
      </c>
      <c r="Q21" s="144">
        <f t="shared" si="1"/>
        <v>19.5</v>
      </c>
      <c r="R21" s="184">
        <v>0</v>
      </c>
      <c r="S21" s="184">
        <v>0</v>
      </c>
      <c r="T21" s="184">
        <v>0</v>
      </c>
      <c r="U21" s="184">
        <v>0</v>
      </c>
      <c r="V21" s="184">
        <v>0</v>
      </c>
      <c r="W21" s="184">
        <v>0</v>
      </c>
      <c r="X21" s="147">
        <v>50</v>
      </c>
      <c r="Y21" s="147">
        <v>3.44</v>
      </c>
      <c r="Z21" s="147">
        <v>149.69</v>
      </c>
      <c r="AA21" s="147">
        <v>1.34</v>
      </c>
      <c r="AB21" s="147">
        <v>58.38</v>
      </c>
      <c r="AC21" s="157">
        <v>0.21999999999999997</v>
      </c>
      <c r="AD21" s="143"/>
      <c r="AE21" s="143">
        <f>IF(PRICING[[#This Row],[SKU]]=I20,AE20+1,1)</f>
        <v>1</v>
      </c>
      <c r="AF21" s="185" t="b">
        <v>0</v>
      </c>
    </row>
    <row r="22" spans="1:32" x14ac:dyDescent="0.2">
      <c r="A22" s="143" t="s">
        <v>187</v>
      </c>
      <c r="B22" s="143" t="s">
        <v>161</v>
      </c>
      <c r="C22" s="143" t="s">
        <v>154</v>
      </c>
      <c r="D22" s="143" t="s">
        <v>163</v>
      </c>
      <c r="E22" s="143" t="s">
        <v>164</v>
      </c>
      <c r="F22" s="143" t="s">
        <v>180</v>
      </c>
      <c r="G22" s="143"/>
      <c r="H22" s="143"/>
      <c r="I22" s="167">
        <v>11015390</v>
      </c>
      <c r="J22" t="s">
        <v>200</v>
      </c>
      <c r="K22" t="s">
        <v>160</v>
      </c>
      <c r="L22" s="190">
        <v>658.72</v>
      </c>
      <c r="M22" s="281">
        <v>560.64</v>
      </c>
      <c r="N22" s="144">
        <f t="shared" si="0"/>
        <v>98.080000000000041</v>
      </c>
      <c r="O22" s="199" t="s">
        <v>192</v>
      </c>
      <c r="P22" s="200">
        <v>0</v>
      </c>
      <c r="Q22" s="144">
        <f t="shared" si="1"/>
        <v>560.64</v>
      </c>
      <c r="R22" s="184">
        <v>678.32</v>
      </c>
      <c r="S22" s="184">
        <v>577.28</v>
      </c>
      <c r="T22" s="184">
        <v>577.28</v>
      </c>
      <c r="U22" s="184">
        <v>663.33</v>
      </c>
      <c r="V22" s="184">
        <v>564.64</v>
      </c>
      <c r="W22" s="184">
        <v>564.64</v>
      </c>
      <c r="X22" s="147">
        <v>16</v>
      </c>
      <c r="Y22" s="147">
        <v>0.06</v>
      </c>
      <c r="Z22" s="147">
        <v>2.7</v>
      </c>
      <c r="AA22" s="147">
        <v>1.96</v>
      </c>
      <c r="AB22" s="147">
        <v>85.5</v>
      </c>
      <c r="AC22" s="157">
        <v>0.3231673548700511</v>
      </c>
      <c r="AD22" s="143"/>
      <c r="AE22" s="143">
        <f>IF(PRICING[[#This Row],[SKU]]=I21,AE21+1,1)</f>
        <v>1</v>
      </c>
      <c r="AF22" s="185" t="b">
        <v>1</v>
      </c>
    </row>
    <row r="23" spans="1:32" x14ac:dyDescent="0.2">
      <c r="A23" s="143" t="s">
        <v>187</v>
      </c>
      <c r="B23" s="143" t="s">
        <v>161</v>
      </c>
      <c r="C23" s="143" t="s">
        <v>154</v>
      </c>
      <c r="D23" s="143" t="s">
        <v>163</v>
      </c>
      <c r="E23" s="143" t="s">
        <v>164</v>
      </c>
      <c r="F23" s="143" t="s">
        <v>180</v>
      </c>
      <c r="G23" s="143"/>
      <c r="H23" s="143"/>
      <c r="I23" s="167">
        <v>11015390</v>
      </c>
      <c r="J23" t="s">
        <v>200</v>
      </c>
      <c r="K23" t="s">
        <v>160</v>
      </c>
      <c r="L23" s="190">
        <v>658.72</v>
      </c>
      <c r="M23" s="281">
        <v>560.64</v>
      </c>
      <c r="N23" s="144">
        <f t="shared" si="0"/>
        <v>98.080000000000041</v>
      </c>
      <c r="O23" s="199" t="s">
        <v>193</v>
      </c>
      <c r="P23" s="200">
        <v>185</v>
      </c>
      <c r="Q23" s="144">
        <f t="shared" si="1"/>
        <v>375.64</v>
      </c>
      <c r="R23" s="184">
        <v>678.32</v>
      </c>
      <c r="S23" s="184">
        <v>577.28</v>
      </c>
      <c r="T23" s="184">
        <v>392.28</v>
      </c>
      <c r="U23" s="184">
        <v>663.33</v>
      </c>
      <c r="V23" s="184">
        <v>564.64</v>
      </c>
      <c r="W23" s="184">
        <v>379.64</v>
      </c>
      <c r="X23" s="147">
        <v>16</v>
      </c>
      <c r="Y23" s="147">
        <v>0.06</v>
      </c>
      <c r="Z23" s="147">
        <v>2.7</v>
      </c>
      <c r="AA23" s="147">
        <v>1.25</v>
      </c>
      <c r="AB23" s="147">
        <v>54.28</v>
      </c>
      <c r="AC23" s="157">
        <v>0.51171969880981294</v>
      </c>
      <c r="AD23" s="143"/>
      <c r="AE23" s="143">
        <f>IF(PRICING[[#This Row],[SKU]]=I22,AE22+1,1)</f>
        <v>2</v>
      </c>
      <c r="AF23" s="185" t="b">
        <v>1</v>
      </c>
    </row>
    <row r="24" spans="1:32" x14ac:dyDescent="0.2">
      <c r="A24" s="143" t="s">
        <v>187</v>
      </c>
      <c r="B24" s="143" t="s">
        <v>161</v>
      </c>
      <c r="C24" s="143" t="s">
        <v>154</v>
      </c>
      <c r="D24" s="143" t="s">
        <v>163</v>
      </c>
      <c r="E24" s="143" t="s">
        <v>164</v>
      </c>
      <c r="F24" s="143" t="s">
        <v>180</v>
      </c>
      <c r="G24" s="143"/>
      <c r="H24" s="143"/>
      <c r="I24" s="167">
        <v>11015391</v>
      </c>
      <c r="J24" t="s">
        <v>200</v>
      </c>
      <c r="K24" t="s">
        <v>168</v>
      </c>
      <c r="L24" s="190">
        <v>2470.4</v>
      </c>
      <c r="M24" s="141">
        <v>2100.48</v>
      </c>
      <c r="N24" s="144">
        <f t="shared" si="0"/>
        <v>369.92000000000007</v>
      </c>
      <c r="O24" s="201">
        <v>1</v>
      </c>
      <c r="P24" s="197">
        <v>0</v>
      </c>
      <c r="Q24" s="144">
        <f t="shared" si="1"/>
        <v>2100.48</v>
      </c>
      <c r="R24" s="184">
        <v>2543.89</v>
      </c>
      <c r="S24" s="184">
        <v>2162.56</v>
      </c>
      <c r="T24" s="184">
        <v>2162.56</v>
      </c>
      <c r="U24" s="184">
        <v>2487.69</v>
      </c>
      <c r="V24" s="184">
        <v>2114.56</v>
      </c>
      <c r="W24" s="184">
        <v>2114.56</v>
      </c>
      <c r="X24" s="147">
        <v>64</v>
      </c>
      <c r="Y24" s="147">
        <v>0.06</v>
      </c>
      <c r="Z24" s="147">
        <v>2.7</v>
      </c>
      <c r="AA24" s="147">
        <v>2.0299999999999998</v>
      </c>
      <c r="AB24" s="147">
        <v>88.61</v>
      </c>
      <c r="AC24" s="157">
        <v>0.14974093264248711</v>
      </c>
      <c r="AD24" s="143"/>
      <c r="AE24" s="143">
        <f>IF(PRICING[[#This Row],[SKU]]=I23,AE23+1,1)</f>
        <v>1</v>
      </c>
      <c r="AF24" s="185" t="b">
        <v>1</v>
      </c>
    </row>
    <row r="25" spans="1:32" x14ac:dyDescent="0.2">
      <c r="A25" s="143" t="s">
        <v>187</v>
      </c>
      <c r="B25" s="143" t="s">
        <v>161</v>
      </c>
      <c r="C25" s="143" t="s">
        <v>154</v>
      </c>
      <c r="D25" s="143" t="s">
        <v>163</v>
      </c>
      <c r="E25" s="143" t="s">
        <v>164</v>
      </c>
      <c r="F25" s="143" t="s">
        <v>180</v>
      </c>
      <c r="G25" s="143"/>
      <c r="H25" s="143"/>
      <c r="I25" s="167">
        <v>11015391</v>
      </c>
      <c r="J25" t="s">
        <v>200</v>
      </c>
      <c r="K25" s="171" t="s">
        <v>168</v>
      </c>
      <c r="L25" s="190">
        <v>2470.4</v>
      </c>
      <c r="M25" s="141">
        <v>2100.48</v>
      </c>
      <c r="N25" s="144">
        <f t="shared" si="0"/>
        <v>369.92000000000007</v>
      </c>
      <c r="O25" s="202" t="s">
        <v>201</v>
      </c>
      <c r="P25" s="197">
        <v>482</v>
      </c>
      <c r="Q25" s="144">
        <f t="shared" si="1"/>
        <v>1618.48</v>
      </c>
      <c r="R25" s="184">
        <v>2543.89</v>
      </c>
      <c r="S25" s="184">
        <v>2162.56</v>
      </c>
      <c r="T25" s="184">
        <v>1680.56</v>
      </c>
      <c r="U25" s="184">
        <v>2487.69</v>
      </c>
      <c r="V25" s="184">
        <v>2114.56</v>
      </c>
      <c r="W25" s="184">
        <v>1632.56</v>
      </c>
      <c r="X25" s="147">
        <v>64</v>
      </c>
      <c r="Y25" s="147">
        <v>0.06</v>
      </c>
      <c r="Z25" s="147">
        <v>2.7</v>
      </c>
      <c r="AA25" s="147">
        <v>1.57</v>
      </c>
      <c r="AB25" s="147">
        <v>68.28</v>
      </c>
      <c r="AC25" s="157">
        <v>0.34485103626943003</v>
      </c>
      <c r="AD25" s="143"/>
      <c r="AE25" s="143">
        <f>IF(PRICING[[#This Row],[SKU]]=I24,AE24+1,1)</f>
        <v>2</v>
      </c>
      <c r="AF25" s="185" t="b">
        <v>1</v>
      </c>
    </row>
    <row r="26" spans="1:32" x14ac:dyDescent="0.2">
      <c r="A26" s="143" t="s">
        <v>187</v>
      </c>
      <c r="B26" s="143" t="s">
        <v>161</v>
      </c>
      <c r="C26" s="143" t="s">
        <v>154</v>
      </c>
      <c r="D26" s="143" t="s">
        <v>163</v>
      </c>
      <c r="E26" s="143" t="s">
        <v>164</v>
      </c>
      <c r="F26" s="143" t="s">
        <v>180</v>
      </c>
      <c r="G26" s="143"/>
      <c r="H26" s="143"/>
      <c r="I26" s="167">
        <v>11015391</v>
      </c>
      <c r="J26" t="s">
        <v>200</v>
      </c>
      <c r="K26" t="s">
        <v>168</v>
      </c>
      <c r="L26" s="190">
        <v>2470.4</v>
      </c>
      <c r="M26" s="141">
        <v>2100.48</v>
      </c>
      <c r="N26" s="144">
        <f t="shared" si="0"/>
        <v>369.92000000000007</v>
      </c>
      <c r="O26" s="198" t="s">
        <v>193</v>
      </c>
      <c r="P26" s="197">
        <v>650</v>
      </c>
      <c r="Q26" s="144">
        <f t="shared" si="1"/>
        <v>1450.48</v>
      </c>
      <c r="R26" s="184">
        <v>2543.89</v>
      </c>
      <c r="S26" s="184">
        <v>2162.56</v>
      </c>
      <c r="T26" s="184">
        <v>1512.56</v>
      </c>
      <c r="U26" s="184">
        <v>2487.69</v>
      </c>
      <c r="V26" s="184">
        <v>2114.56</v>
      </c>
      <c r="W26" s="184">
        <v>1464.56</v>
      </c>
      <c r="X26" s="147">
        <v>64</v>
      </c>
      <c r="Y26" s="147">
        <v>0.06</v>
      </c>
      <c r="Z26" s="147">
        <v>2.7</v>
      </c>
      <c r="AA26" s="147">
        <v>1.41</v>
      </c>
      <c r="AB26" s="147">
        <v>61.19</v>
      </c>
      <c r="AC26" s="157">
        <v>0.41285621761658031</v>
      </c>
      <c r="AD26" s="143"/>
      <c r="AE26" s="143">
        <f>IF(PRICING[[#This Row],[SKU]]=I25,AE25+1,1)</f>
        <v>3</v>
      </c>
      <c r="AF26" s="185" t="b">
        <v>1</v>
      </c>
    </row>
    <row r="27" spans="1:32" hidden="1" x14ac:dyDescent="0.2">
      <c r="A27" s="143" t="s">
        <v>152</v>
      </c>
      <c r="B27" s="143" t="s">
        <v>153</v>
      </c>
      <c r="C27" s="143" t="s">
        <v>154</v>
      </c>
      <c r="D27" s="143" t="s">
        <v>163</v>
      </c>
      <c r="E27" s="143" t="s">
        <v>164</v>
      </c>
      <c r="F27" s="143" t="s">
        <v>157</v>
      </c>
      <c r="G27" s="170" t="s">
        <v>202</v>
      </c>
      <c r="H27" s="165"/>
      <c r="I27" s="167" t="s">
        <v>71</v>
      </c>
      <c r="J27" s="143" t="s">
        <v>203</v>
      </c>
      <c r="K27" t="s">
        <v>204</v>
      </c>
      <c r="L27" s="183">
        <v>239.09</v>
      </c>
      <c r="M27" s="184">
        <v>239.09</v>
      </c>
      <c r="N27" s="144">
        <f t="shared" si="0"/>
        <v>0</v>
      </c>
      <c r="O27" s="170"/>
      <c r="P27" s="195">
        <v>4</v>
      </c>
      <c r="Q27" s="144">
        <f t="shared" si="1"/>
        <v>235.09</v>
      </c>
      <c r="R27" s="184">
        <v>0</v>
      </c>
      <c r="S27" s="184">
        <v>0</v>
      </c>
      <c r="T27" s="184">
        <v>0</v>
      </c>
      <c r="U27" s="184">
        <v>0</v>
      </c>
      <c r="V27" s="184">
        <v>0</v>
      </c>
      <c r="W27" s="184">
        <v>0</v>
      </c>
      <c r="X27" s="147">
        <v>320</v>
      </c>
      <c r="Y27" s="147">
        <v>6.9</v>
      </c>
      <c r="Z27" s="147">
        <v>300.56</v>
      </c>
      <c r="AA27" s="147">
        <v>5.07</v>
      </c>
      <c r="AB27" s="147">
        <v>220.81</v>
      </c>
      <c r="AC27" s="157">
        <v>1.6730101635367478E-2</v>
      </c>
      <c r="AD27" s="143"/>
      <c r="AE27" s="143">
        <f>IF(PRICING[[#This Row],[SKU]]=I26,AE26+1,1)</f>
        <v>1</v>
      </c>
      <c r="AF27" s="185" t="b">
        <v>0</v>
      </c>
    </row>
    <row r="28" spans="1:32" hidden="1" x14ac:dyDescent="0.2">
      <c r="A28" s="143" t="s">
        <v>152</v>
      </c>
      <c r="B28" s="143" t="s">
        <v>153</v>
      </c>
      <c r="C28" s="143" t="s">
        <v>154</v>
      </c>
      <c r="D28" s="143" t="s">
        <v>163</v>
      </c>
      <c r="E28" s="143" t="s">
        <v>164</v>
      </c>
      <c r="F28" s="143" t="s">
        <v>157</v>
      </c>
      <c r="G28" s="169"/>
      <c r="H28" s="143"/>
      <c r="I28" s="167" t="s">
        <v>72</v>
      </c>
      <c r="J28" s="165" t="s">
        <v>205</v>
      </c>
      <c r="K28" t="s">
        <v>206</v>
      </c>
      <c r="L28" s="183">
        <v>54.35</v>
      </c>
      <c r="M28" s="184">
        <v>54.35</v>
      </c>
      <c r="N28" s="144">
        <f t="shared" si="0"/>
        <v>0</v>
      </c>
      <c r="O28" s="170"/>
      <c r="P28" s="195">
        <v>0</v>
      </c>
      <c r="Q28" s="144">
        <f t="shared" si="1"/>
        <v>54.35</v>
      </c>
      <c r="R28" s="184">
        <v>0</v>
      </c>
      <c r="S28" s="184">
        <v>0</v>
      </c>
      <c r="T28" s="184">
        <v>0</v>
      </c>
      <c r="U28" s="184">
        <v>0</v>
      </c>
      <c r="V28" s="184">
        <v>0</v>
      </c>
      <c r="W28" s="184">
        <v>0</v>
      </c>
      <c r="X28" s="147">
        <v>30</v>
      </c>
      <c r="Y28" s="147">
        <v>3</v>
      </c>
      <c r="Z28" s="147">
        <v>130.69999999999999</v>
      </c>
      <c r="AA28" s="147">
        <v>0</v>
      </c>
      <c r="AB28" s="147">
        <v>0</v>
      </c>
      <c r="AC28" s="157">
        <v>0</v>
      </c>
      <c r="AD28" s="143"/>
      <c r="AE28" s="143">
        <f>IF(PRICING[[#This Row],[SKU]]=I27,AE27+1,1)</f>
        <v>1</v>
      </c>
      <c r="AF28" s="185" t="b">
        <v>0</v>
      </c>
    </row>
    <row r="29" spans="1:32" hidden="1" x14ac:dyDescent="0.2">
      <c r="A29" s="143" t="s">
        <v>187</v>
      </c>
      <c r="B29" s="143" t="s">
        <v>161</v>
      </c>
      <c r="C29" s="143" t="s">
        <v>154</v>
      </c>
      <c r="D29" s="143" t="s">
        <v>163</v>
      </c>
      <c r="E29" s="143" t="s">
        <v>156</v>
      </c>
      <c r="F29" s="165" t="s">
        <v>157</v>
      </c>
      <c r="G29" s="166"/>
      <c r="H29" s="165"/>
      <c r="I29" s="167">
        <v>11008464</v>
      </c>
      <c r="J29" s="143" t="s">
        <v>207</v>
      </c>
      <c r="K29" t="s">
        <v>159</v>
      </c>
      <c r="L29" s="183">
        <v>464.64</v>
      </c>
      <c r="M29" s="184">
        <v>464.64</v>
      </c>
      <c r="N29" s="144">
        <f t="shared" si="0"/>
        <v>0</v>
      </c>
      <c r="O29" s="196" t="s">
        <v>208</v>
      </c>
      <c r="P29" s="197">
        <v>0</v>
      </c>
      <c r="Q29" s="144">
        <f t="shared" si="1"/>
        <v>464.64</v>
      </c>
      <c r="R29" s="184">
        <v>0</v>
      </c>
      <c r="S29" s="184">
        <v>0</v>
      </c>
      <c r="T29" s="184">
        <v>0</v>
      </c>
      <c r="U29" s="184">
        <v>467.89</v>
      </c>
      <c r="V29" s="184">
        <v>467.89</v>
      </c>
      <c r="W29" s="184">
        <v>467.89</v>
      </c>
      <c r="X29" s="147">
        <v>128</v>
      </c>
      <c r="Y29" s="147">
        <v>0.55000000000000004</v>
      </c>
      <c r="Z29" s="147">
        <v>24</v>
      </c>
      <c r="AA29" s="147">
        <v>2</v>
      </c>
      <c r="AB29" s="147">
        <v>87.12</v>
      </c>
      <c r="AC29" s="157">
        <v>0</v>
      </c>
      <c r="AD29" s="143"/>
      <c r="AE29" s="143">
        <f>IF(PRICING[[#This Row],[SKU]]=I28,AE28+1,1)</f>
        <v>1</v>
      </c>
      <c r="AF29" s="185" t="b">
        <v>0</v>
      </c>
    </row>
    <row r="30" spans="1:32" hidden="1" x14ac:dyDescent="0.2">
      <c r="A30" s="143" t="s">
        <v>187</v>
      </c>
      <c r="B30" s="143" t="s">
        <v>161</v>
      </c>
      <c r="C30" s="143" t="s">
        <v>154</v>
      </c>
      <c r="D30" s="143" t="s">
        <v>163</v>
      </c>
      <c r="E30" s="143" t="s">
        <v>156</v>
      </c>
      <c r="F30" s="143" t="s">
        <v>157</v>
      </c>
      <c r="G30" s="166"/>
      <c r="H30" s="165"/>
      <c r="I30" s="167">
        <v>11008464</v>
      </c>
      <c r="J30" s="143" t="s">
        <v>207</v>
      </c>
      <c r="K30" t="s">
        <v>159</v>
      </c>
      <c r="L30" s="183">
        <v>464.64</v>
      </c>
      <c r="M30" s="184">
        <v>464.64</v>
      </c>
      <c r="N30" s="144">
        <f t="shared" si="0"/>
        <v>0</v>
      </c>
      <c r="O30" s="170" t="s">
        <v>209</v>
      </c>
      <c r="P30" s="197">
        <v>47</v>
      </c>
      <c r="Q30" s="144">
        <f t="shared" si="1"/>
        <v>417.64</v>
      </c>
      <c r="R30" s="184">
        <v>0</v>
      </c>
      <c r="S30" s="184">
        <v>0</v>
      </c>
      <c r="T30" s="184">
        <v>0</v>
      </c>
      <c r="U30" s="184">
        <v>467.89</v>
      </c>
      <c r="V30" s="184">
        <v>467.89</v>
      </c>
      <c r="W30" s="184">
        <v>420.89</v>
      </c>
      <c r="X30" s="147">
        <v>128</v>
      </c>
      <c r="Y30" s="147">
        <v>0.55000000000000004</v>
      </c>
      <c r="Z30" s="147">
        <v>24</v>
      </c>
      <c r="AA30" s="147">
        <v>1.8</v>
      </c>
      <c r="AB30" s="147">
        <v>78.31</v>
      </c>
      <c r="AC30" s="157">
        <v>0.10115358126721763</v>
      </c>
      <c r="AD30" s="143"/>
      <c r="AE30" s="143">
        <f>IF(PRICING[[#This Row],[SKU]]=I29,AE29+1,1)</f>
        <v>2</v>
      </c>
      <c r="AF30" s="185" t="b">
        <v>0</v>
      </c>
    </row>
    <row r="31" spans="1:32" hidden="1" x14ac:dyDescent="0.2">
      <c r="A31" s="143" t="s">
        <v>187</v>
      </c>
      <c r="B31" s="143" t="s">
        <v>161</v>
      </c>
      <c r="C31" s="143" t="s">
        <v>154</v>
      </c>
      <c r="D31" s="143" t="s">
        <v>163</v>
      </c>
      <c r="E31" s="143" t="s">
        <v>173</v>
      </c>
      <c r="F31" s="165" t="s">
        <v>157</v>
      </c>
      <c r="G31" s="166"/>
      <c r="H31" s="165"/>
      <c r="I31" s="167">
        <v>11008557</v>
      </c>
      <c r="J31" s="143" t="s">
        <v>210</v>
      </c>
      <c r="K31" t="s">
        <v>168</v>
      </c>
      <c r="L31" s="183">
        <v>1652.48</v>
      </c>
      <c r="M31" s="184">
        <v>1652.48</v>
      </c>
      <c r="N31" s="144">
        <f t="shared" si="0"/>
        <v>0</v>
      </c>
      <c r="O31" s="196" t="s">
        <v>192</v>
      </c>
      <c r="P31" s="197">
        <v>0</v>
      </c>
      <c r="Q31" s="144">
        <f t="shared" si="1"/>
        <v>1652.48</v>
      </c>
      <c r="R31" s="184">
        <v>1701.64</v>
      </c>
      <c r="S31" s="184">
        <v>1701.64</v>
      </c>
      <c r="T31" s="184">
        <v>1701.64</v>
      </c>
      <c r="U31" s="184">
        <v>1664.05</v>
      </c>
      <c r="V31" s="184">
        <v>1664.05</v>
      </c>
      <c r="W31" s="184">
        <v>1664.05</v>
      </c>
      <c r="X31" s="147">
        <v>64</v>
      </c>
      <c r="Y31" s="147">
        <v>0.36</v>
      </c>
      <c r="Z31" s="147">
        <v>15.68</v>
      </c>
      <c r="AA31" s="147">
        <v>6.37</v>
      </c>
      <c r="AB31" s="147">
        <v>277.49</v>
      </c>
      <c r="AC31" s="157">
        <v>0</v>
      </c>
      <c r="AD31" s="143"/>
      <c r="AE31" s="143">
        <f>IF(PRICING[[#This Row],[SKU]]=I30,AE30+1,1)</f>
        <v>1</v>
      </c>
      <c r="AF31" s="185" t="b">
        <v>1</v>
      </c>
    </row>
    <row r="32" spans="1:32" hidden="1" x14ac:dyDescent="0.2">
      <c r="A32" s="143" t="s">
        <v>187</v>
      </c>
      <c r="B32" s="143" t="s">
        <v>161</v>
      </c>
      <c r="C32" s="143" t="s">
        <v>154</v>
      </c>
      <c r="D32" s="143" t="s">
        <v>163</v>
      </c>
      <c r="E32" s="143" t="s">
        <v>173</v>
      </c>
      <c r="F32" s="165" t="s">
        <v>157</v>
      </c>
      <c r="G32" s="166"/>
      <c r="H32" s="165"/>
      <c r="I32" s="167">
        <v>11008557</v>
      </c>
      <c r="J32" s="143" t="s">
        <v>210</v>
      </c>
      <c r="K32" t="s">
        <v>168</v>
      </c>
      <c r="L32" s="183">
        <v>1652.48</v>
      </c>
      <c r="M32" s="184">
        <v>1652.48</v>
      </c>
      <c r="N32" s="144">
        <f t="shared" si="0"/>
        <v>0</v>
      </c>
      <c r="O32" s="170" t="s">
        <v>193</v>
      </c>
      <c r="P32" s="197">
        <v>395</v>
      </c>
      <c r="Q32" s="144">
        <f t="shared" si="1"/>
        <v>1257.48</v>
      </c>
      <c r="R32" s="184">
        <v>1701.64</v>
      </c>
      <c r="S32" s="184">
        <v>1701.64</v>
      </c>
      <c r="T32" s="184">
        <v>1181.6400000000001</v>
      </c>
      <c r="U32" s="184">
        <v>1664.05</v>
      </c>
      <c r="V32" s="184">
        <v>1664.05</v>
      </c>
      <c r="W32" s="184">
        <v>1144.05</v>
      </c>
      <c r="X32" s="147">
        <v>64</v>
      </c>
      <c r="Y32" s="147">
        <v>0.36</v>
      </c>
      <c r="Z32" s="147">
        <v>15.68</v>
      </c>
      <c r="AA32" s="147">
        <v>6.37</v>
      </c>
      <c r="AB32" s="147">
        <v>277.49</v>
      </c>
      <c r="AC32" s="157">
        <v>0.31467854376452364</v>
      </c>
      <c r="AD32" s="143"/>
      <c r="AE32" s="143">
        <f>IF(PRICING[[#This Row],[SKU]]=I31,AE31+1,1)</f>
        <v>2</v>
      </c>
      <c r="AF32" s="185" t="b">
        <v>1</v>
      </c>
    </row>
    <row r="33" spans="1:32" hidden="1" x14ac:dyDescent="0.2">
      <c r="A33" s="143" t="s">
        <v>187</v>
      </c>
      <c r="B33" s="143" t="s">
        <v>161</v>
      </c>
      <c r="C33" s="143" t="s">
        <v>154</v>
      </c>
      <c r="D33" s="143" t="s">
        <v>163</v>
      </c>
      <c r="E33" s="143" t="s">
        <v>173</v>
      </c>
      <c r="F33" s="165" t="s">
        <v>157</v>
      </c>
      <c r="G33" s="166"/>
      <c r="H33" s="165"/>
      <c r="I33" s="167">
        <v>11009500</v>
      </c>
      <c r="J33" s="143" t="s">
        <v>210</v>
      </c>
      <c r="K33" t="s">
        <v>211</v>
      </c>
      <c r="L33" s="183">
        <v>7462.4</v>
      </c>
      <c r="M33" s="184">
        <v>7462.4</v>
      </c>
      <c r="N33" s="144">
        <f t="shared" si="0"/>
        <v>0</v>
      </c>
      <c r="O33" s="196" t="s">
        <v>192</v>
      </c>
      <c r="P33" s="203">
        <v>1290</v>
      </c>
      <c r="Q33" s="144">
        <f t="shared" si="1"/>
        <v>6172.4</v>
      </c>
      <c r="R33" s="184">
        <v>7684.41</v>
      </c>
      <c r="S33" s="184">
        <v>7684.41</v>
      </c>
      <c r="T33" s="184">
        <v>7029.41</v>
      </c>
      <c r="U33" s="184">
        <v>7514.64</v>
      </c>
      <c r="V33" s="184">
        <v>7514.64</v>
      </c>
      <c r="W33" s="184">
        <v>6859.64</v>
      </c>
      <c r="X33" s="147">
        <v>320</v>
      </c>
      <c r="Y33" s="147">
        <v>0.36</v>
      </c>
      <c r="Z33" s="147">
        <v>15.68</v>
      </c>
      <c r="AA33" s="147">
        <v>7.66</v>
      </c>
      <c r="AB33" s="147">
        <v>333.6</v>
      </c>
      <c r="AC33" s="157">
        <v>8.7773370497427061E-2</v>
      </c>
      <c r="AD33" s="143"/>
      <c r="AE33" s="143">
        <f>IF(PRICING[[#This Row],[SKU]]=I32,AE32+1,1)</f>
        <v>1</v>
      </c>
      <c r="AF33" s="185" t="b">
        <v>1</v>
      </c>
    </row>
    <row r="34" spans="1:32" hidden="1" x14ac:dyDescent="0.2">
      <c r="A34" s="143" t="s">
        <v>187</v>
      </c>
      <c r="B34" s="143" t="s">
        <v>161</v>
      </c>
      <c r="C34" s="143" t="s">
        <v>172</v>
      </c>
      <c r="D34" s="143" t="s">
        <v>163</v>
      </c>
      <c r="E34" s="143" t="s">
        <v>173</v>
      </c>
      <c r="F34" s="165" t="s">
        <v>157</v>
      </c>
      <c r="G34" s="166"/>
      <c r="H34" s="165"/>
      <c r="I34" s="167">
        <v>11009500</v>
      </c>
      <c r="J34" s="143" t="s">
        <v>210</v>
      </c>
      <c r="K34" t="s">
        <v>211</v>
      </c>
      <c r="L34" s="183">
        <v>7462.4</v>
      </c>
      <c r="M34" s="184">
        <v>7462.4</v>
      </c>
      <c r="N34" s="144">
        <f t="shared" si="0"/>
        <v>0</v>
      </c>
      <c r="O34" s="170" t="s">
        <v>193</v>
      </c>
      <c r="P34" s="204">
        <v>1390</v>
      </c>
      <c r="Q34" s="144">
        <f t="shared" si="1"/>
        <v>6072.4</v>
      </c>
      <c r="R34" s="184">
        <v>7684.41</v>
      </c>
      <c r="S34" s="184">
        <v>7684.41</v>
      </c>
      <c r="T34" s="184">
        <v>6384.41</v>
      </c>
      <c r="U34" s="184">
        <v>7514.64</v>
      </c>
      <c r="V34" s="184">
        <v>7514.64</v>
      </c>
      <c r="W34" s="184">
        <v>6214.64</v>
      </c>
      <c r="X34" s="147">
        <v>320</v>
      </c>
      <c r="Y34" s="147">
        <v>0.36</v>
      </c>
      <c r="Z34" s="147">
        <v>15.68</v>
      </c>
      <c r="AA34" s="147">
        <v>6.93</v>
      </c>
      <c r="AB34" s="147">
        <v>301.99</v>
      </c>
      <c r="AC34" s="157">
        <v>0.17420668953687823</v>
      </c>
      <c r="AD34" s="143"/>
      <c r="AE34" s="143">
        <f>IF(PRICING[[#This Row],[SKU]]=I33,AE33+1,1)</f>
        <v>2</v>
      </c>
      <c r="AF34" s="185" t="b">
        <v>1</v>
      </c>
    </row>
    <row r="35" spans="1:32" hidden="1" x14ac:dyDescent="0.2">
      <c r="A35" s="143" t="s">
        <v>152</v>
      </c>
      <c r="B35" s="143" t="s">
        <v>153</v>
      </c>
      <c r="C35" s="143" t="s">
        <v>154</v>
      </c>
      <c r="D35" s="143" t="s">
        <v>163</v>
      </c>
      <c r="E35" s="143" t="s">
        <v>164</v>
      </c>
      <c r="F35" s="165" t="s">
        <v>157</v>
      </c>
      <c r="G35" s="166" t="s">
        <v>212</v>
      </c>
      <c r="H35" s="165"/>
      <c r="I35" s="167" t="s">
        <v>73</v>
      </c>
      <c r="J35" s="165" t="s">
        <v>213</v>
      </c>
      <c r="K35" t="s">
        <v>159</v>
      </c>
      <c r="L35" s="183">
        <v>53.55</v>
      </c>
      <c r="M35" s="184">
        <v>53.55</v>
      </c>
      <c r="N35" s="144">
        <f t="shared" si="0"/>
        <v>0</v>
      </c>
      <c r="O35" s="170"/>
      <c r="P35" s="195">
        <v>1</v>
      </c>
      <c r="Q35" s="144">
        <f t="shared" si="1"/>
        <v>52.55</v>
      </c>
      <c r="R35" s="184">
        <v>0</v>
      </c>
      <c r="S35" s="184">
        <v>0</v>
      </c>
      <c r="T35" s="184">
        <v>0</v>
      </c>
      <c r="U35" s="184">
        <v>0</v>
      </c>
      <c r="V35" s="184">
        <v>0</v>
      </c>
      <c r="W35" s="184">
        <v>0</v>
      </c>
      <c r="X35" s="147">
        <v>128</v>
      </c>
      <c r="Y35" s="147">
        <v>0.6</v>
      </c>
      <c r="Z35" s="147">
        <v>26.14</v>
      </c>
      <c r="AA35" s="147">
        <v>0.25</v>
      </c>
      <c r="AB35" s="147">
        <v>10.73</v>
      </c>
      <c r="AC35" s="157">
        <v>1.8674136321195189E-2</v>
      </c>
      <c r="AD35" s="143"/>
      <c r="AE35" s="143">
        <f>IF(PRICING[[#This Row],[SKU]]=I34,AE34+1,1)</f>
        <v>1</v>
      </c>
      <c r="AF35" s="185" t="b">
        <v>0</v>
      </c>
    </row>
    <row r="36" spans="1:32" hidden="1" x14ac:dyDescent="0.2">
      <c r="A36" s="172" t="s">
        <v>152</v>
      </c>
      <c r="B36" s="172" t="s">
        <v>153</v>
      </c>
      <c r="C36" s="172" t="s">
        <v>154</v>
      </c>
      <c r="D36" s="172"/>
      <c r="E36" s="172" t="s">
        <v>164</v>
      </c>
      <c r="F36" s="172" t="s">
        <v>157</v>
      </c>
      <c r="G36" s="173"/>
      <c r="H36" s="174"/>
      <c r="I36" s="167" t="s">
        <v>74</v>
      </c>
      <c r="J36" s="175" t="s">
        <v>214</v>
      </c>
      <c r="K36" s="176" t="s">
        <v>215</v>
      </c>
      <c r="L36" s="183">
        <v>26.42</v>
      </c>
      <c r="M36" s="184">
        <v>26.42</v>
      </c>
      <c r="N36" s="144">
        <f t="shared" si="0"/>
        <v>0</v>
      </c>
      <c r="O36" s="205"/>
      <c r="P36" s="206">
        <v>0</v>
      </c>
      <c r="Q36" s="144">
        <f t="shared" si="1"/>
        <v>26.42</v>
      </c>
      <c r="R36" s="184">
        <v>0</v>
      </c>
      <c r="S36" s="184">
        <v>0</v>
      </c>
      <c r="T36" s="184">
        <v>0</v>
      </c>
      <c r="U36" s="184">
        <v>0</v>
      </c>
      <c r="V36" s="184">
        <v>0</v>
      </c>
      <c r="W36" s="184">
        <v>0</v>
      </c>
      <c r="X36" s="147">
        <v>6.4</v>
      </c>
      <c r="Y36" s="147">
        <v>1.9</v>
      </c>
      <c r="Z36" s="147">
        <v>82.76</v>
      </c>
      <c r="AA36" s="147">
        <v>7.84</v>
      </c>
      <c r="AB36" s="147">
        <v>341.66</v>
      </c>
      <c r="AC36" s="157">
        <v>0</v>
      </c>
      <c r="AD36" s="143"/>
      <c r="AE36" s="143">
        <f>IF(PRICING[[#This Row],[SKU]]=I35,AE35+1,1)</f>
        <v>1</v>
      </c>
      <c r="AF36" s="185" t="b">
        <v>0</v>
      </c>
    </row>
    <row r="37" spans="1:32" hidden="1" x14ac:dyDescent="0.2">
      <c r="A37" s="143" t="s">
        <v>187</v>
      </c>
      <c r="B37" s="143" t="s">
        <v>153</v>
      </c>
      <c r="C37" s="143" t="s">
        <v>154</v>
      </c>
      <c r="D37" s="143" t="s">
        <v>163</v>
      </c>
      <c r="E37" s="143" t="s">
        <v>156</v>
      </c>
      <c r="F37" s="165" t="s">
        <v>157</v>
      </c>
      <c r="G37" s="166"/>
      <c r="H37" s="165"/>
      <c r="I37" s="167">
        <v>11008447</v>
      </c>
      <c r="J37" s="143" t="s">
        <v>216</v>
      </c>
      <c r="K37" t="s">
        <v>217</v>
      </c>
      <c r="L37" s="183">
        <v>169.93</v>
      </c>
      <c r="M37" s="184">
        <v>169.93</v>
      </c>
      <c r="N37" s="144">
        <f t="shared" ref="N37:N46" si="2">L37-M37</f>
        <v>0</v>
      </c>
      <c r="O37" s="170"/>
      <c r="P37" s="197">
        <v>20</v>
      </c>
      <c r="Q37" s="144">
        <f t="shared" ref="Q37:Q61" si="3">M37-P37</f>
        <v>149.93</v>
      </c>
      <c r="R37" s="184">
        <v>0</v>
      </c>
      <c r="S37" s="184">
        <v>0</v>
      </c>
      <c r="T37" s="184">
        <v>0</v>
      </c>
      <c r="U37" s="184">
        <v>0</v>
      </c>
      <c r="V37" s="184">
        <v>0</v>
      </c>
      <c r="W37" s="184">
        <v>0</v>
      </c>
      <c r="X37" s="147">
        <v>8</v>
      </c>
      <c r="Y37" s="147">
        <v>0.03</v>
      </c>
      <c r="Z37" s="147">
        <v>1.2</v>
      </c>
      <c r="AA37" s="147">
        <v>0.52</v>
      </c>
      <c r="AB37" s="147">
        <v>22.49</v>
      </c>
      <c r="AC37" s="157">
        <v>0.11769552168539987</v>
      </c>
      <c r="AD37" s="143"/>
      <c r="AE37" s="143">
        <f>IF(PRICING[[#This Row],[SKU]]=I36,AE36+1,1)</f>
        <v>1</v>
      </c>
      <c r="AF37" s="185" t="b">
        <v>0</v>
      </c>
    </row>
    <row r="38" spans="1:32" hidden="1" x14ac:dyDescent="0.2">
      <c r="A38" s="143" t="s">
        <v>152</v>
      </c>
      <c r="B38" s="143" t="s">
        <v>153</v>
      </c>
      <c r="C38" s="143" t="s">
        <v>154</v>
      </c>
      <c r="D38" s="143" t="s">
        <v>177</v>
      </c>
      <c r="E38" s="143" t="s">
        <v>156</v>
      </c>
      <c r="F38" s="165" t="s">
        <v>157</v>
      </c>
      <c r="G38" s="166"/>
      <c r="H38" s="165"/>
      <c r="I38" s="167">
        <v>79850980</v>
      </c>
      <c r="J38" s="143" t="s">
        <v>218</v>
      </c>
      <c r="K38" t="s">
        <v>219</v>
      </c>
      <c r="L38" s="183">
        <v>309.17</v>
      </c>
      <c r="M38" s="184">
        <v>309.17</v>
      </c>
      <c r="N38" s="144">
        <f t="shared" si="2"/>
        <v>0</v>
      </c>
      <c r="O38" s="170"/>
      <c r="P38" s="197">
        <v>25</v>
      </c>
      <c r="Q38" s="144">
        <f t="shared" si="3"/>
        <v>284.17</v>
      </c>
      <c r="R38" s="184">
        <v>318.37</v>
      </c>
      <c r="S38" s="184">
        <v>318.37</v>
      </c>
      <c r="T38" s="184">
        <v>278.37</v>
      </c>
      <c r="U38" s="184">
        <v>311.33</v>
      </c>
      <c r="V38" s="184">
        <v>311.33</v>
      </c>
      <c r="W38" s="184">
        <v>271.33</v>
      </c>
      <c r="X38" s="147">
        <v>32</v>
      </c>
      <c r="Y38" s="147">
        <v>0.4</v>
      </c>
      <c r="Z38" s="147">
        <v>17.399999999999999</v>
      </c>
      <c r="AA38" s="147">
        <v>3.55</v>
      </c>
      <c r="AB38" s="147">
        <v>154.52000000000001</v>
      </c>
      <c r="AC38" s="157">
        <v>8.0861661868874779E-2</v>
      </c>
      <c r="AD38" s="143"/>
      <c r="AE38" s="143">
        <f>IF(PRICING[[#This Row],[SKU]]=I37,AE37+1,1)</f>
        <v>1</v>
      </c>
      <c r="AF38" s="185" t="b">
        <v>0</v>
      </c>
    </row>
    <row r="39" spans="1:32" hidden="1" x14ac:dyDescent="0.2">
      <c r="A39" s="143" t="s">
        <v>152</v>
      </c>
      <c r="B39" s="143" t="s">
        <v>161</v>
      </c>
      <c r="C39" s="143" t="s">
        <v>154</v>
      </c>
      <c r="D39" s="143" t="s">
        <v>177</v>
      </c>
      <c r="E39" s="143" t="s">
        <v>156</v>
      </c>
      <c r="F39" s="165" t="s">
        <v>157</v>
      </c>
      <c r="H39" s="165"/>
      <c r="I39" s="167">
        <v>79545312</v>
      </c>
      <c r="J39" s="143" t="s">
        <v>218</v>
      </c>
      <c r="K39" t="s">
        <v>220</v>
      </c>
      <c r="L39" s="183">
        <v>832.59</v>
      </c>
      <c r="M39" s="184">
        <v>808.23</v>
      </c>
      <c r="N39" s="144">
        <f t="shared" si="2"/>
        <v>24.360000000000014</v>
      </c>
      <c r="O39" s="196" t="s">
        <v>221</v>
      </c>
      <c r="P39" s="195">
        <v>40</v>
      </c>
      <c r="Q39" s="144">
        <f t="shared" si="3"/>
        <v>768.23</v>
      </c>
      <c r="R39" s="184">
        <v>857.36</v>
      </c>
      <c r="S39" s="184">
        <v>832.59</v>
      </c>
      <c r="T39" s="184">
        <v>767.59</v>
      </c>
      <c r="U39" s="184">
        <v>838.42</v>
      </c>
      <c r="V39" s="184">
        <v>814.32</v>
      </c>
      <c r="W39" s="184">
        <v>749.32</v>
      </c>
      <c r="X39" s="147">
        <v>87</v>
      </c>
      <c r="Y39" s="147">
        <v>0.4</v>
      </c>
      <c r="Z39" s="147">
        <v>17.399999999999999</v>
      </c>
      <c r="AA39" s="147">
        <v>3.53</v>
      </c>
      <c r="AB39" s="147">
        <v>153.65</v>
      </c>
      <c r="AC39" s="157">
        <v>7.7305996949278755E-2</v>
      </c>
      <c r="AD39" s="143"/>
      <c r="AE39" s="143">
        <f>IF(PRICING[[#This Row],[SKU]]=I38,AE38+1,1)</f>
        <v>1</v>
      </c>
      <c r="AF39" s="185" t="b">
        <v>0</v>
      </c>
    </row>
    <row r="40" spans="1:32" hidden="1" x14ac:dyDescent="0.2">
      <c r="A40" s="143" t="s">
        <v>152</v>
      </c>
      <c r="B40" s="143" t="s">
        <v>161</v>
      </c>
      <c r="C40" s="143" t="s">
        <v>154</v>
      </c>
      <c r="D40" s="143" t="s">
        <v>177</v>
      </c>
      <c r="E40" s="143" t="s">
        <v>156</v>
      </c>
      <c r="F40" s="165" t="s">
        <v>157</v>
      </c>
      <c r="H40" s="165"/>
      <c r="I40" s="167">
        <v>79545312</v>
      </c>
      <c r="J40" s="143" t="s">
        <v>218</v>
      </c>
      <c r="K40" t="s">
        <v>220</v>
      </c>
      <c r="L40" s="183">
        <v>832.59</v>
      </c>
      <c r="M40" s="184">
        <v>808.23</v>
      </c>
      <c r="N40" s="144">
        <f t="shared" si="2"/>
        <v>24.360000000000014</v>
      </c>
      <c r="O40" s="207" t="s">
        <v>222</v>
      </c>
      <c r="P40" s="197">
        <v>65</v>
      </c>
      <c r="Q40" s="144">
        <f t="shared" si="3"/>
        <v>743.23</v>
      </c>
      <c r="R40" s="184">
        <v>857.36</v>
      </c>
      <c r="S40" s="184">
        <v>832.59</v>
      </c>
      <c r="T40" s="184">
        <v>690.59</v>
      </c>
      <c r="U40" s="184">
        <v>838.42</v>
      </c>
      <c r="V40" s="184">
        <v>814.32</v>
      </c>
      <c r="W40" s="184">
        <v>672.32</v>
      </c>
      <c r="X40" s="147">
        <v>87</v>
      </c>
      <c r="Y40" s="147">
        <v>0.4</v>
      </c>
      <c r="Z40" s="147">
        <v>17.399999999999999</v>
      </c>
      <c r="AA40" s="147">
        <v>3.41</v>
      </c>
      <c r="AB40" s="147">
        <v>148.65</v>
      </c>
      <c r="AC40" s="157">
        <v>0.10733278084050968</v>
      </c>
      <c r="AD40" s="143"/>
      <c r="AE40" s="143">
        <f>IF(PRICING[[#This Row],[SKU]]=I39,AE39+1,1)</f>
        <v>2</v>
      </c>
      <c r="AF40" s="185" t="b">
        <v>0</v>
      </c>
    </row>
    <row r="41" spans="1:32" hidden="1" x14ac:dyDescent="0.2">
      <c r="A41" s="143" t="s">
        <v>187</v>
      </c>
      <c r="B41" s="143" t="s">
        <v>161</v>
      </c>
      <c r="C41" s="143" t="s">
        <v>172</v>
      </c>
      <c r="D41" s="143" t="s">
        <v>163</v>
      </c>
      <c r="E41" s="143" t="s">
        <v>164</v>
      </c>
      <c r="F41" s="165" t="s">
        <v>180</v>
      </c>
      <c r="G41" s="166"/>
      <c r="H41" s="165"/>
      <c r="I41" s="167">
        <v>11009495</v>
      </c>
      <c r="J41" s="143" t="s">
        <v>223</v>
      </c>
      <c r="K41" t="s">
        <v>224</v>
      </c>
      <c r="L41" s="190">
        <v>164.53</v>
      </c>
      <c r="M41" s="184">
        <v>164.53</v>
      </c>
      <c r="N41" s="144">
        <f t="shared" si="2"/>
        <v>0</v>
      </c>
      <c r="O41" s="199" t="s">
        <v>208</v>
      </c>
      <c r="P41" s="208">
        <v>1.65</v>
      </c>
      <c r="Q41" s="144">
        <f t="shared" si="3"/>
        <v>162.88</v>
      </c>
      <c r="R41" s="184">
        <v>169.42</v>
      </c>
      <c r="S41" s="184">
        <v>169.42</v>
      </c>
      <c r="T41" s="184">
        <v>169.42</v>
      </c>
      <c r="U41" s="184">
        <v>165.63</v>
      </c>
      <c r="V41" s="184">
        <v>165.63</v>
      </c>
      <c r="W41" s="184">
        <v>165.63</v>
      </c>
      <c r="X41" s="147">
        <v>32</v>
      </c>
      <c r="Y41" s="147">
        <v>0.65</v>
      </c>
      <c r="Z41" s="147">
        <v>28.31</v>
      </c>
      <c r="AA41" s="147">
        <v>2.83</v>
      </c>
      <c r="AB41" s="147">
        <v>123.46</v>
      </c>
      <c r="AC41" s="157">
        <v>0</v>
      </c>
      <c r="AD41" s="143"/>
      <c r="AE41" s="143">
        <f>IF(PRICING[[#This Row],[SKU]]=I40,AE40+1,1)</f>
        <v>1</v>
      </c>
      <c r="AF41" s="185" t="b">
        <v>1</v>
      </c>
    </row>
    <row r="42" spans="1:32" hidden="1" x14ac:dyDescent="0.2">
      <c r="A42" s="143" t="s">
        <v>187</v>
      </c>
      <c r="B42" s="143" t="s">
        <v>161</v>
      </c>
      <c r="C42" s="143" t="s">
        <v>172</v>
      </c>
      <c r="D42" s="143" t="s">
        <v>163</v>
      </c>
      <c r="E42" s="143" t="s">
        <v>164</v>
      </c>
      <c r="F42" s="165" t="s">
        <v>180</v>
      </c>
      <c r="G42" s="166"/>
      <c r="H42" s="165"/>
      <c r="I42" s="167">
        <v>11009495</v>
      </c>
      <c r="J42" s="143" t="s">
        <v>223</v>
      </c>
      <c r="K42" t="s">
        <v>224</v>
      </c>
      <c r="L42" s="190">
        <v>164.53</v>
      </c>
      <c r="M42" s="184">
        <v>164.53</v>
      </c>
      <c r="N42" s="144">
        <f t="shared" si="2"/>
        <v>0</v>
      </c>
      <c r="O42" s="201" t="s">
        <v>209</v>
      </c>
      <c r="P42" s="209">
        <v>26.65</v>
      </c>
      <c r="Q42" s="144">
        <f t="shared" si="3"/>
        <v>137.88</v>
      </c>
      <c r="R42" s="184">
        <v>169.42</v>
      </c>
      <c r="S42" s="184">
        <v>169.42</v>
      </c>
      <c r="T42" s="184">
        <v>144.41999999999999</v>
      </c>
      <c r="U42" s="184">
        <v>165.63</v>
      </c>
      <c r="V42" s="184">
        <v>165.63</v>
      </c>
      <c r="W42" s="184">
        <v>140.63</v>
      </c>
      <c r="X42" s="147">
        <v>32</v>
      </c>
      <c r="Y42" s="147">
        <v>0.65</v>
      </c>
      <c r="Z42" s="147">
        <v>28.31</v>
      </c>
      <c r="AA42" s="147">
        <v>2.83</v>
      </c>
      <c r="AB42" s="147">
        <v>123.46</v>
      </c>
      <c r="AC42" s="157">
        <v>0.15194797301403995</v>
      </c>
      <c r="AD42" s="143"/>
      <c r="AE42" s="143">
        <f>IF(PRICING[[#This Row],[SKU]]=I41,AE41+1,1)</f>
        <v>2</v>
      </c>
      <c r="AF42" s="185" t="b">
        <v>1</v>
      </c>
    </row>
    <row r="43" spans="1:32" hidden="1" x14ac:dyDescent="0.2">
      <c r="A43" s="143" t="s">
        <v>187</v>
      </c>
      <c r="B43" s="143" t="s">
        <v>153</v>
      </c>
      <c r="C43" s="143" t="s">
        <v>154</v>
      </c>
      <c r="D43" s="143" t="s">
        <v>163</v>
      </c>
      <c r="E43" s="143" t="s">
        <v>156</v>
      </c>
      <c r="F43" s="165" t="s">
        <v>157</v>
      </c>
      <c r="G43" s="166"/>
      <c r="H43" s="165"/>
      <c r="I43" s="167">
        <v>11008482</v>
      </c>
      <c r="J43" s="143" t="s">
        <v>225</v>
      </c>
      <c r="K43" t="s">
        <v>226</v>
      </c>
      <c r="L43" s="183">
        <v>164.73</v>
      </c>
      <c r="M43" s="184">
        <v>164.73</v>
      </c>
      <c r="N43" s="144">
        <f t="shared" si="2"/>
        <v>0</v>
      </c>
      <c r="O43" s="170"/>
      <c r="P43" s="195">
        <v>8</v>
      </c>
      <c r="Q43" s="144">
        <f t="shared" si="3"/>
        <v>156.72999999999999</v>
      </c>
      <c r="R43" s="184">
        <v>0</v>
      </c>
      <c r="S43" s="184">
        <v>0</v>
      </c>
      <c r="T43" s="184">
        <v>0</v>
      </c>
      <c r="U43" s="184">
        <v>165.88</v>
      </c>
      <c r="V43" s="184">
        <v>165.88</v>
      </c>
      <c r="W43" s="184">
        <v>157.88</v>
      </c>
      <c r="X43" s="147">
        <v>6</v>
      </c>
      <c r="Y43" s="147">
        <v>2</v>
      </c>
      <c r="Z43" s="147">
        <v>87</v>
      </c>
      <c r="AA43" s="147">
        <v>52.17</v>
      </c>
      <c r="AB43" s="147">
        <v>2272.59</v>
      </c>
      <c r="AC43" s="157">
        <v>4.8564317367813969E-2</v>
      </c>
      <c r="AD43" s="143"/>
      <c r="AE43" s="143">
        <f>IF(PRICING[[#This Row],[SKU]]=I42,AE42+1,1)</f>
        <v>1</v>
      </c>
      <c r="AF43" s="185" t="b">
        <v>0</v>
      </c>
    </row>
    <row r="44" spans="1:32" hidden="1" x14ac:dyDescent="0.2">
      <c r="A44" s="143" t="s">
        <v>187</v>
      </c>
      <c r="B44" s="143" t="s">
        <v>161</v>
      </c>
      <c r="C44" s="143" t="s">
        <v>154</v>
      </c>
      <c r="D44" s="143" t="s">
        <v>163</v>
      </c>
      <c r="E44" s="143" t="s">
        <v>156</v>
      </c>
      <c r="F44" s="165" t="s">
        <v>157</v>
      </c>
      <c r="G44" s="166"/>
      <c r="H44" s="165"/>
      <c r="I44" s="167">
        <v>11008522</v>
      </c>
      <c r="J44" s="143" t="s">
        <v>225</v>
      </c>
      <c r="K44" t="s">
        <v>227</v>
      </c>
      <c r="L44" s="183">
        <v>611.08000000000004</v>
      </c>
      <c r="M44" s="184">
        <v>611.08000000000004</v>
      </c>
      <c r="N44" s="144">
        <f t="shared" si="2"/>
        <v>0</v>
      </c>
      <c r="O44" s="196" t="s">
        <v>208</v>
      </c>
      <c r="P44" s="195">
        <v>0</v>
      </c>
      <c r="Q44" s="144">
        <f t="shared" si="3"/>
        <v>611.08000000000004</v>
      </c>
      <c r="R44" s="184">
        <v>0</v>
      </c>
      <c r="S44" s="184">
        <v>0</v>
      </c>
      <c r="T44" s="184">
        <v>0</v>
      </c>
      <c r="U44" s="184">
        <v>615.36</v>
      </c>
      <c r="V44" s="184">
        <v>615.36</v>
      </c>
      <c r="W44" s="184">
        <v>615.36</v>
      </c>
      <c r="X44" s="147">
        <v>16</v>
      </c>
      <c r="Y44" s="147">
        <v>2</v>
      </c>
      <c r="Z44" s="147">
        <v>87</v>
      </c>
      <c r="AA44" s="147">
        <v>76.28</v>
      </c>
      <c r="AB44" s="147">
        <v>3322.75</v>
      </c>
      <c r="AC44" s="157">
        <v>0</v>
      </c>
      <c r="AD44" s="143"/>
      <c r="AE44" s="143">
        <f>IF(PRICING[[#This Row],[SKU]]=I43,AE43+1,1)</f>
        <v>1</v>
      </c>
      <c r="AF44" s="185" t="b">
        <v>0</v>
      </c>
    </row>
    <row r="45" spans="1:32" hidden="1" x14ac:dyDescent="0.2">
      <c r="A45" s="143" t="s">
        <v>187</v>
      </c>
      <c r="B45" s="143" t="s">
        <v>161</v>
      </c>
      <c r="C45" s="143" t="s">
        <v>154</v>
      </c>
      <c r="D45" s="143" t="s">
        <v>163</v>
      </c>
      <c r="E45" s="143" t="s">
        <v>156</v>
      </c>
      <c r="F45" s="165" t="s">
        <v>157</v>
      </c>
      <c r="G45" s="166"/>
      <c r="H45" s="165"/>
      <c r="I45" s="167">
        <v>11008522</v>
      </c>
      <c r="J45" s="143" t="s">
        <v>225</v>
      </c>
      <c r="K45" t="s">
        <v>227</v>
      </c>
      <c r="L45" s="183">
        <v>611.08000000000004</v>
      </c>
      <c r="M45" s="184">
        <v>611.08000000000004</v>
      </c>
      <c r="N45" s="144">
        <f t="shared" si="2"/>
        <v>0</v>
      </c>
      <c r="O45" s="196" t="s">
        <v>209</v>
      </c>
      <c r="P45" s="195">
        <v>32</v>
      </c>
      <c r="Q45" s="144">
        <f t="shared" si="3"/>
        <v>579.08000000000004</v>
      </c>
      <c r="R45" s="184">
        <v>0</v>
      </c>
      <c r="S45" s="184">
        <v>0</v>
      </c>
      <c r="T45" s="184">
        <v>0</v>
      </c>
      <c r="U45" s="184">
        <v>615.36</v>
      </c>
      <c r="V45" s="184">
        <v>615.36</v>
      </c>
      <c r="W45" s="184">
        <v>583.36</v>
      </c>
      <c r="X45" s="147">
        <v>16</v>
      </c>
      <c r="Y45" s="147">
        <v>2</v>
      </c>
      <c r="Z45" s="147">
        <v>87</v>
      </c>
      <c r="AA45" s="147">
        <v>72.290000000000006</v>
      </c>
      <c r="AB45" s="147">
        <v>3148.75</v>
      </c>
      <c r="AC45" s="157">
        <v>5.2366302284479915E-2</v>
      </c>
      <c r="AD45" s="143"/>
      <c r="AE45" s="143">
        <f>IF(PRICING[[#This Row],[SKU]]=I44,AE44+1,1)</f>
        <v>2</v>
      </c>
      <c r="AF45" s="185" t="b">
        <v>0</v>
      </c>
    </row>
    <row r="46" spans="1:32" hidden="1" x14ac:dyDescent="0.2">
      <c r="A46" s="143" t="s">
        <v>187</v>
      </c>
      <c r="B46" s="143" t="s">
        <v>153</v>
      </c>
      <c r="C46" s="143" t="s">
        <v>154</v>
      </c>
      <c r="D46" s="143" t="s">
        <v>163</v>
      </c>
      <c r="E46" s="143" t="s">
        <v>156</v>
      </c>
      <c r="F46" s="165" t="s">
        <v>157</v>
      </c>
      <c r="G46" s="166"/>
      <c r="H46" s="165"/>
      <c r="I46" s="167">
        <v>11008369</v>
      </c>
      <c r="J46" s="143" t="s">
        <v>228</v>
      </c>
      <c r="K46" t="s">
        <v>229</v>
      </c>
      <c r="L46" s="183">
        <v>97.96</v>
      </c>
      <c r="M46" s="184">
        <v>97.96</v>
      </c>
      <c r="N46" s="144">
        <f t="shared" si="2"/>
        <v>0</v>
      </c>
      <c r="O46" s="170"/>
      <c r="P46" s="210">
        <v>8</v>
      </c>
      <c r="Q46" s="144">
        <f t="shared" si="3"/>
        <v>89.96</v>
      </c>
      <c r="R46" s="184">
        <v>0</v>
      </c>
      <c r="S46" s="184">
        <v>0</v>
      </c>
      <c r="T46" s="184">
        <v>0</v>
      </c>
      <c r="U46" s="184">
        <v>98.65</v>
      </c>
      <c r="V46" s="184">
        <v>98.65</v>
      </c>
      <c r="W46" s="184">
        <v>90.65</v>
      </c>
      <c r="X46" s="147">
        <v>320</v>
      </c>
      <c r="Y46" s="147">
        <v>3.97</v>
      </c>
      <c r="Z46" s="147">
        <v>173</v>
      </c>
      <c r="AA46" s="147">
        <v>1.1200000000000001</v>
      </c>
      <c r="AB46" s="147">
        <v>48.63</v>
      </c>
      <c r="AC46" s="157">
        <v>8.166598611678233E-2</v>
      </c>
      <c r="AD46" s="143"/>
      <c r="AE46" s="143">
        <f>IF(PRICING[[#This Row],[SKU]]=I45,AE45+1,1)</f>
        <v>1</v>
      </c>
      <c r="AF46" s="185" t="b">
        <v>0</v>
      </c>
    </row>
    <row r="47" spans="1:32" hidden="1" x14ac:dyDescent="0.2">
      <c r="A47" s="172" t="s">
        <v>187</v>
      </c>
      <c r="B47" s="172" t="s">
        <v>161</v>
      </c>
      <c r="C47" s="172" t="s">
        <v>154</v>
      </c>
      <c r="D47" s="172" t="s">
        <v>163</v>
      </c>
      <c r="E47" s="172" t="s">
        <v>156</v>
      </c>
      <c r="F47" s="174" t="s">
        <v>157</v>
      </c>
      <c r="G47" s="176"/>
      <c r="H47" s="174"/>
      <c r="I47" s="177">
        <v>11013862</v>
      </c>
      <c r="J47" s="172" t="s">
        <v>228</v>
      </c>
      <c r="K47" s="176" t="s">
        <v>211</v>
      </c>
      <c r="L47" s="183">
        <v>268.8</v>
      </c>
      <c r="M47" s="184">
        <v>268.8</v>
      </c>
      <c r="N47" s="144">
        <f t="shared" ref="N47:N49" si="4">L47-M47</f>
        <v>0</v>
      </c>
      <c r="O47" s="211" t="s">
        <v>230</v>
      </c>
      <c r="P47" s="212">
        <v>10</v>
      </c>
      <c r="Q47" s="144">
        <f t="shared" si="3"/>
        <v>258.8</v>
      </c>
      <c r="R47" s="184">
        <v>0</v>
      </c>
      <c r="S47" s="184">
        <v>0</v>
      </c>
      <c r="T47" s="184">
        <v>0</v>
      </c>
      <c r="U47" s="184">
        <v>270.68</v>
      </c>
      <c r="V47" s="184">
        <v>270.68</v>
      </c>
      <c r="W47" s="184">
        <v>260.68</v>
      </c>
      <c r="X47" s="147">
        <v>320</v>
      </c>
      <c r="Y47" s="147">
        <v>3.97</v>
      </c>
      <c r="Z47" s="147">
        <v>173</v>
      </c>
      <c r="AA47" s="147">
        <v>3.21</v>
      </c>
      <c r="AB47" s="147">
        <v>139.91</v>
      </c>
      <c r="AC47" s="157">
        <v>3.7202380952380931E-2</v>
      </c>
      <c r="AD47" s="143"/>
      <c r="AE47" s="143">
        <f>IF(PRICING[[#This Row],[SKU]]=I46,AE46+1,1)</f>
        <v>1</v>
      </c>
      <c r="AF47" s="185" t="b">
        <v>0</v>
      </c>
    </row>
    <row r="48" spans="1:32" hidden="1" x14ac:dyDescent="0.2">
      <c r="A48" s="143" t="s">
        <v>152</v>
      </c>
      <c r="B48" s="143" t="s">
        <v>161</v>
      </c>
      <c r="C48" s="143" t="s">
        <v>154</v>
      </c>
      <c r="D48" s="143" t="s">
        <v>177</v>
      </c>
      <c r="E48" s="143" t="s">
        <v>156</v>
      </c>
      <c r="F48" s="165" t="s">
        <v>157</v>
      </c>
      <c r="G48" s="178"/>
      <c r="H48" s="165"/>
      <c r="I48" s="167" t="s">
        <v>51</v>
      </c>
      <c r="J48" s="143" t="s">
        <v>231</v>
      </c>
      <c r="K48" t="s">
        <v>232</v>
      </c>
      <c r="L48" s="183">
        <v>340.02</v>
      </c>
      <c r="M48" s="184">
        <v>340.02</v>
      </c>
      <c r="N48" s="144">
        <f t="shared" si="4"/>
        <v>0</v>
      </c>
      <c r="O48" s="196" t="s">
        <v>233</v>
      </c>
      <c r="P48" s="197">
        <v>0</v>
      </c>
      <c r="Q48" s="144">
        <f t="shared" si="3"/>
        <v>340.02</v>
      </c>
      <c r="R48" s="184">
        <v>350.14</v>
      </c>
      <c r="S48" s="184">
        <v>350.14</v>
      </c>
      <c r="T48" s="184">
        <v>350.14</v>
      </c>
      <c r="U48" s="184">
        <v>342.4</v>
      </c>
      <c r="V48" s="184">
        <v>342.4</v>
      </c>
      <c r="W48" s="184">
        <v>342.4</v>
      </c>
      <c r="X48" s="147">
        <v>18</v>
      </c>
      <c r="Y48" s="147">
        <v>0.14000000000000001</v>
      </c>
      <c r="Z48" s="147">
        <v>6</v>
      </c>
      <c r="AA48" s="147">
        <v>2.6</v>
      </c>
      <c r="AB48" s="147">
        <v>113.34</v>
      </c>
      <c r="AC48" s="157">
        <v>0</v>
      </c>
      <c r="AD48" s="143"/>
      <c r="AE48" s="143">
        <f>IF(PRICING[[#This Row],[SKU]]=I47,AE47+1,1)</f>
        <v>1</v>
      </c>
      <c r="AF48" s="185" t="b">
        <v>0</v>
      </c>
    </row>
    <row r="49" spans="1:32" hidden="1" x14ac:dyDescent="0.2">
      <c r="A49" s="143" t="s">
        <v>152</v>
      </c>
      <c r="B49" s="143" t="s">
        <v>161</v>
      </c>
      <c r="C49" s="143" t="s">
        <v>154</v>
      </c>
      <c r="D49" s="143" t="s">
        <v>177</v>
      </c>
      <c r="E49" s="143" t="s">
        <v>156</v>
      </c>
      <c r="F49" s="165" t="s">
        <v>180</v>
      </c>
      <c r="G49" s="178" t="s">
        <v>234</v>
      </c>
      <c r="H49" s="165"/>
      <c r="I49" s="167" t="s">
        <v>52</v>
      </c>
      <c r="J49" s="143" t="s">
        <v>231</v>
      </c>
      <c r="K49" t="s">
        <v>159</v>
      </c>
      <c r="L49" s="190">
        <v>2232.3200000000002</v>
      </c>
      <c r="M49" s="184">
        <v>2143.0300000000002</v>
      </c>
      <c r="N49" s="144">
        <f t="shared" si="4"/>
        <v>89.289999999999964</v>
      </c>
      <c r="O49" s="196" t="s">
        <v>233</v>
      </c>
      <c r="P49" s="200">
        <v>101</v>
      </c>
      <c r="Q49" s="144">
        <f t="shared" si="3"/>
        <v>2042.0300000000002</v>
      </c>
      <c r="R49" s="184">
        <v>2298.73</v>
      </c>
      <c r="S49" s="184">
        <v>2206.79</v>
      </c>
      <c r="T49" s="184">
        <v>2105.79</v>
      </c>
      <c r="U49" s="184">
        <v>2247.9499999999998</v>
      </c>
      <c r="V49" s="184">
        <v>2158.0300000000002</v>
      </c>
      <c r="W49" s="184">
        <v>2057.0300000000002</v>
      </c>
      <c r="X49" s="147">
        <v>128</v>
      </c>
      <c r="Y49" s="147">
        <v>0.14000000000000001</v>
      </c>
      <c r="Z49" s="147">
        <v>6</v>
      </c>
      <c r="AA49" s="147">
        <v>2.2000000000000002</v>
      </c>
      <c r="AB49" s="147">
        <v>95.72</v>
      </c>
      <c r="AC49" s="157">
        <v>8.524315510321101E-2</v>
      </c>
      <c r="AD49" s="143"/>
      <c r="AE49" s="143">
        <f>IF(PRICING[[#This Row],[SKU]]=I48,AE48+1,1)</f>
        <v>1</v>
      </c>
      <c r="AF49" s="185" t="b">
        <v>1</v>
      </c>
    </row>
    <row r="50" spans="1:32" hidden="1" x14ac:dyDescent="0.2">
      <c r="A50" s="143" t="s">
        <v>152</v>
      </c>
      <c r="B50" s="143" t="s">
        <v>161</v>
      </c>
      <c r="C50" s="143" t="s">
        <v>154</v>
      </c>
      <c r="D50" s="143" t="s">
        <v>177</v>
      </c>
      <c r="E50" s="143" t="s">
        <v>156</v>
      </c>
      <c r="F50" s="165" t="s">
        <v>180</v>
      </c>
      <c r="G50" s="178" t="s">
        <v>234</v>
      </c>
      <c r="H50" s="165"/>
      <c r="I50" s="167" t="s">
        <v>53</v>
      </c>
      <c r="J50" s="143" t="s">
        <v>231</v>
      </c>
      <c r="K50" t="s">
        <v>159</v>
      </c>
      <c r="L50" s="190">
        <v>2232.3200000000002</v>
      </c>
      <c r="M50" s="184">
        <v>2098.38</v>
      </c>
      <c r="N50" s="144">
        <f t="shared" ref="N50:N51" si="5">L50-M50</f>
        <v>133.94000000000005</v>
      </c>
      <c r="O50" s="196" t="s">
        <v>235</v>
      </c>
      <c r="P50" s="200">
        <v>115</v>
      </c>
      <c r="Q50" s="144">
        <f t="shared" si="3"/>
        <v>1983.38</v>
      </c>
      <c r="R50" s="184">
        <v>2298.73</v>
      </c>
      <c r="S50" s="184">
        <v>2160.81</v>
      </c>
      <c r="T50" s="184">
        <v>2045.81</v>
      </c>
      <c r="U50" s="184">
        <v>2247.9499999999998</v>
      </c>
      <c r="V50" s="184">
        <v>2113.0700000000002</v>
      </c>
      <c r="W50" s="184">
        <v>1998.07</v>
      </c>
      <c r="X50" s="147">
        <v>128</v>
      </c>
      <c r="Y50" s="147">
        <v>0.14000000000000001</v>
      </c>
      <c r="Z50" s="147">
        <v>6</v>
      </c>
      <c r="AA50" s="147">
        <v>2.13</v>
      </c>
      <c r="AB50" s="147">
        <v>92.97</v>
      </c>
      <c r="AC50" s="157">
        <v>0.11151627006880738</v>
      </c>
      <c r="AD50" s="143"/>
      <c r="AE50" s="143">
        <f>IF(PRICING[[#This Row],[SKU]]=I49,AE49+1,1)</f>
        <v>1</v>
      </c>
      <c r="AF50" s="185" t="b">
        <v>1</v>
      </c>
    </row>
    <row r="51" spans="1:32" hidden="1" x14ac:dyDescent="0.2">
      <c r="A51" s="143" t="s">
        <v>152</v>
      </c>
      <c r="B51" s="143" t="s">
        <v>161</v>
      </c>
      <c r="C51" s="143" t="s">
        <v>154</v>
      </c>
      <c r="D51" s="143" t="s">
        <v>177</v>
      </c>
      <c r="E51" s="143" t="s">
        <v>156</v>
      </c>
      <c r="F51" s="165" t="s">
        <v>180</v>
      </c>
      <c r="G51" s="178" t="s">
        <v>234</v>
      </c>
      <c r="H51" s="165"/>
      <c r="I51" s="167" t="s">
        <v>54</v>
      </c>
      <c r="J51" s="143" t="s">
        <v>231</v>
      </c>
      <c r="K51" t="s">
        <v>159</v>
      </c>
      <c r="L51" s="190">
        <v>1916.16</v>
      </c>
      <c r="M51" s="184">
        <v>1839.51</v>
      </c>
      <c r="N51" s="144">
        <f t="shared" si="5"/>
        <v>76.650000000000091</v>
      </c>
      <c r="O51" s="196" t="s">
        <v>236</v>
      </c>
      <c r="P51" s="200">
        <v>128</v>
      </c>
      <c r="Q51" s="144">
        <f t="shared" si="3"/>
        <v>1711.51</v>
      </c>
      <c r="R51" s="184">
        <v>1973.17</v>
      </c>
      <c r="S51" s="184">
        <v>1894.24</v>
      </c>
      <c r="T51" s="184">
        <v>1766.24</v>
      </c>
      <c r="U51" s="184">
        <v>1929.57</v>
      </c>
      <c r="V51" s="184">
        <v>1852.39</v>
      </c>
      <c r="W51" s="184">
        <v>1724.39</v>
      </c>
      <c r="X51" s="147">
        <v>128</v>
      </c>
      <c r="Y51" s="147">
        <v>0.14000000000000001</v>
      </c>
      <c r="Z51" s="147">
        <v>6</v>
      </c>
      <c r="AA51" s="147">
        <v>1.84</v>
      </c>
      <c r="AB51" s="147">
        <v>80.23</v>
      </c>
      <c r="AC51" s="157">
        <v>0.10680214595858384</v>
      </c>
      <c r="AD51" s="143"/>
      <c r="AE51" s="143">
        <f>IF(PRICING[[#This Row],[SKU]]=I50,AE50+1,1)</f>
        <v>1</v>
      </c>
      <c r="AF51" s="185" t="b">
        <v>1</v>
      </c>
    </row>
    <row r="52" spans="1:32" hidden="1" x14ac:dyDescent="0.2">
      <c r="A52" s="143" t="s">
        <v>152</v>
      </c>
      <c r="B52" s="143" t="s">
        <v>161</v>
      </c>
      <c r="C52" s="143" t="s">
        <v>154</v>
      </c>
      <c r="D52" s="143" t="s">
        <v>177</v>
      </c>
      <c r="E52" s="143" t="s">
        <v>156</v>
      </c>
      <c r="F52" s="165" t="s">
        <v>180</v>
      </c>
      <c r="G52" s="166" t="s">
        <v>234</v>
      </c>
      <c r="H52" s="143"/>
      <c r="I52" s="167" t="s">
        <v>55</v>
      </c>
      <c r="J52" s="143" t="s">
        <v>231</v>
      </c>
      <c r="K52" t="s">
        <v>159</v>
      </c>
      <c r="L52" s="190">
        <v>1916.16</v>
      </c>
      <c r="M52" s="184">
        <v>1820.35</v>
      </c>
      <c r="N52" s="144">
        <f t="shared" ref="N52:N54" si="6">L52-M52</f>
        <v>95.810000000000173</v>
      </c>
      <c r="O52" s="196" t="s">
        <v>237</v>
      </c>
      <c r="P52" s="200">
        <v>328</v>
      </c>
      <c r="Q52" s="144">
        <f t="shared" si="3"/>
        <v>1492.35</v>
      </c>
      <c r="R52" s="184">
        <v>1973.17</v>
      </c>
      <c r="S52" s="184">
        <v>1874.51</v>
      </c>
      <c r="T52" s="184">
        <v>1546.51</v>
      </c>
      <c r="U52" s="184">
        <v>1929.57</v>
      </c>
      <c r="V52" s="184">
        <v>1833.09</v>
      </c>
      <c r="W52" s="184">
        <v>1505.09</v>
      </c>
      <c r="X52" s="147">
        <v>128</v>
      </c>
      <c r="Y52" s="147">
        <v>0.14000000000000001</v>
      </c>
      <c r="Z52" s="147">
        <v>8</v>
      </c>
      <c r="AA52" s="147">
        <v>1.63</v>
      </c>
      <c r="AB52" s="147">
        <v>93.27</v>
      </c>
      <c r="AC52" s="157">
        <v>0.22117672845691394</v>
      </c>
      <c r="AD52" s="143"/>
      <c r="AE52" s="143">
        <f>IF(PRICING[[#This Row],[SKU]]=I51,AE51+1,1)</f>
        <v>1</v>
      </c>
      <c r="AF52" s="185" t="b">
        <v>1</v>
      </c>
    </row>
    <row r="53" spans="1:32" hidden="1" x14ac:dyDescent="0.2">
      <c r="A53" s="143" t="s">
        <v>152</v>
      </c>
      <c r="B53" s="143" t="s">
        <v>161</v>
      </c>
      <c r="C53" s="143" t="s">
        <v>154</v>
      </c>
      <c r="D53" s="143" t="s">
        <v>177</v>
      </c>
      <c r="E53" s="143" t="s">
        <v>156</v>
      </c>
      <c r="F53" s="165" t="s">
        <v>180</v>
      </c>
      <c r="G53" s="178" t="s">
        <v>238</v>
      </c>
      <c r="H53" s="165"/>
      <c r="I53" s="167" t="s">
        <v>56</v>
      </c>
      <c r="J53" s="143" t="s">
        <v>239</v>
      </c>
      <c r="K53" t="s">
        <v>198</v>
      </c>
      <c r="L53" s="190">
        <v>139</v>
      </c>
      <c r="M53" s="184">
        <v>139</v>
      </c>
      <c r="N53" s="144">
        <f t="shared" si="6"/>
        <v>0</v>
      </c>
      <c r="O53" s="196" t="s">
        <v>240</v>
      </c>
      <c r="P53" s="195">
        <v>0</v>
      </c>
      <c r="Q53" s="144">
        <f t="shared" si="3"/>
        <v>139</v>
      </c>
      <c r="R53" s="184">
        <v>143.13999999999999</v>
      </c>
      <c r="S53" s="184">
        <v>143.13999999999999</v>
      </c>
      <c r="T53" s="184">
        <v>143.13999999999999</v>
      </c>
      <c r="U53" s="184">
        <v>139.97</v>
      </c>
      <c r="V53" s="184">
        <v>139.97</v>
      </c>
      <c r="W53" s="184">
        <v>139.97</v>
      </c>
      <c r="X53" s="147">
        <v>800</v>
      </c>
      <c r="Y53" s="147">
        <v>3.44</v>
      </c>
      <c r="Z53" s="147">
        <v>150</v>
      </c>
      <c r="AA53" s="147">
        <v>0.6</v>
      </c>
      <c r="AB53" s="147">
        <v>26.06</v>
      </c>
      <c r="AC53" s="157">
        <v>0</v>
      </c>
      <c r="AD53" s="143"/>
      <c r="AE53" s="143">
        <f>IF(PRICING[[#This Row],[SKU]]=I52,AE52+1,1)</f>
        <v>1</v>
      </c>
      <c r="AF53" s="185" t="b">
        <v>1</v>
      </c>
    </row>
    <row r="54" spans="1:32" hidden="1" x14ac:dyDescent="0.2">
      <c r="A54" s="143" t="s">
        <v>152</v>
      </c>
      <c r="B54" s="143" t="s">
        <v>161</v>
      </c>
      <c r="C54" s="143" t="s">
        <v>154</v>
      </c>
      <c r="D54" s="143" t="s">
        <v>177</v>
      </c>
      <c r="E54" s="143" t="s">
        <v>156</v>
      </c>
      <c r="F54" s="143" t="s">
        <v>180</v>
      </c>
      <c r="G54" s="178" t="s">
        <v>238</v>
      </c>
      <c r="H54" s="165"/>
      <c r="I54" s="167" t="s">
        <v>56</v>
      </c>
      <c r="J54" s="143" t="s">
        <v>239</v>
      </c>
      <c r="K54" t="s">
        <v>198</v>
      </c>
      <c r="L54" s="190">
        <v>139</v>
      </c>
      <c r="M54" s="184">
        <v>139</v>
      </c>
      <c r="N54" s="144">
        <f t="shared" si="6"/>
        <v>0</v>
      </c>
      <c r="O54" s="196" t="s">
        <v>241</v>
      </c>
      <c r="P54" s="195">
        <v>20</v>
      </c>
      <c r="Q54" s="144">
        <f t="shared" ref="Q54" si="7">M54-P54</f>
        <v>119</v>
      </c>
      <c r="R54" s="184">
        <v>143.13999999999999</v>
      </c>
      <c r="S54" s="184">
        <v>143.13999999999999</v>
      </c>
      <c r="T54" s="184">
        <v>123.14</v>
      </c>
      <c r="U54" s="184">
        <v>139.97</v>
      </c>
      <c r="V54" s="184">
        <v>139.97</v>
      </c>
      <c r="W54" s="184">
        <v>119.97</v>
      </c>
      <c r="X54" s="147">
        <v>800</v>
      </c>
      <c r="Y54" s="147">
        <v>3.44</v>
      </c>
      <c r="Z54" s="147">
        <v>150</v>
      </c>
      <c r="AA54" s="147">
        <v>0.51</v>
      </c>
      <c r="AB54" s="147">
        <v>22.31</v>
      </c>
      <c r="AC54" s="157">
        <v>0.14388489208633093</v>
      </c>
      <c r="AD54" s="143"/>
      <c r="AE54" s="143">
        <f>IF(PRICING[[#This Row],[SKU]]=I53,AE53+1,1)</f>
        <v>2</v>
      </c>
      <c r="AF54" s="185" t="b">
        <v>1</v>
      </c>
    </row>
    <row r="55" spans="1:32" hidden="1" x14ac:dyDescent="0.2">
      <c r="A55" s="143" t="s">
        <v>152</v>
      </c>
      <c r="B55" s="143" t="s">
        <v>153</v>
      </c>
      <c r="C55" s="143" t="s">
        <v>172</v>
      </c>
      <c r="D55" s="143" t="s">
        <v>242</v>
      </c>
      <c r="E55" s="143" t="s">
        <v>156</v>
      </c>
      <c r="F55" s="165" t="s">
        <v>157</v>
      </c>
      <c r="G55" s="166"/>
      <c r="H55" s="165"/>
      <c r="I55" s="167" t="s">
        <v>75</v>
      </c>
      <c r="J55" s="165" t="s">
        <v>243</v>
      </c>
      <c r="K55" t="s">
        <v>211</v>
      </c>
      <c r="L55" s="183">
        <v>192.37</v>
      </c>
      <c r="M55" s="184">
        <v>192.37</v>
      </c>
      <c r="N55" s="144">
        <f t="shared" ref="N55:N58" si="8">L55-M55</f>
        <v>0</v>
      </c>
      <c r="O55" s="170" t="s">
        <v>244</v>
      </c>
      <c r="P55" s="213">
        <v>31</v>
      </c>
      <c r="Q55" s="144">
        <f t="shared" si="3"/>
        <v>161.37</v>
      </c>
      <c r="R55" s="184">
        <v>0</v>
      </c>
      <c r="S55" s="184">
        <v>0</v>
      </c>
      <c r="T55" s="184">
        <v>0</v>
      </c>
      <c r="U55" s="184">
        <v>0</v>
      </c>
      <c r="V55" s="184">
        <v>0</v>
      </c>
      <c r="W55" s="184">
        <v>0</v>
      </c>
      <c r="X55" s="147">
        <v>128</v>
      </c>
      <c r="Y55" s="147">
        <v>1.1000000000000001</v>
      </c>
      <c r="Z55" s="147">
        <v>48</v>
      </c>
      <c r="AA55" s="147">
        <v>1.39</v>
      </c>
      <c r="AB55" s="147">
        <v>60.51</v>
      </c>
      <c r="AC55" s="157">
        <v>0.1611477881166502</v>
      </c>
      <c r="AD55" s="143"/>
      <c r="AE55" s="143">
        <f>IF(PRICING[[#This Row],[SKU]]=I54,AE54+1,1)</f>
        <v>1</v>
      </c>
      <c r="AF55" s="185" t="b">
        <v>0</v>
      </c>
    </row>
    <row r="56" spans="1:32" hidden="1" x14ac:dyDescent="0.2">
      <c r="A56" s="143" t="s">
        <v>152</v>
      </c>
      <c r="B56" s="143" t="s">
        <v>153</v>
      </c>
      <c r="C56" s="143" t="s">
        <v>172</v>
      </c>
      <c r="D56" s="143" t="s">
        <v>242</v>
      </c>
      <c r="E56" s="143" t="s">
        <v>156</v>
      </c>
      <c r="F56" s="165" t="s">
        <v>157</v>
      </c>
      <c r="G56" s="166"/>
      <c r="H56" s="165"/>
      <c r="I56" s="167" t="s">
        <v>76</v>
      </c>
      <c r="J56" s="165" t="s">
        <v>243</v>
      </c>
      <c r="K56" t="s">
        <v>245</v>
      </c>
      <c r="L56" s="183">
        <v>2103.44</v>
      </c>
      <c r="M56" s="184">
        <v>2103.44</v>
      </c>
      <c r="N56" s="144">
        <f t="shared" ref="N56" si="9">L56-M56</f>
        <v>0</v>
      </c>
      <c r="O56" s="170" t="s">
        <v>244</v>
      </c>
      <c r="P56" s="213">
        <v>390</v>
      </c>
      <c r="Q56" s="144">
        <f t="shared" ref="Q56" si="10">M56-P56</f>
        <v>1713.44</v>
      </c>
      <c r="R56" s="184">
        <v>0</v>
      </c>
      <c r="S56" s="184">
        <v>0</v>
      </c>
      <c r="T56" s="184">
        <v>0</v>
      </c>
      <c r="U56" s="184">
        <v>0</v>
      </c>
      <c r="V56" s="184">
        <v>0</v>
      </c>
      <c r="W56" s="184">
        <v>0</v>
      </c>
      <c r="X56" s="147">
        <v>320</v>
      </c>
      <c r="Y56" s="147">
        <v>1.1000000000000001</v>
      </c>
      <c r="Z56" s="147">
        <v>48</v>
      </c>
      <c r="AA56" s="147">
        <v>5.9</v>
      </c>
      <c r="AB56" s="147">
        <v>257.02</v>
      </c>
      <c r="AC56" s="157">
        <v>0.18541056554976609</v>
      </c>
      <c r="AD56" s="143"/>
      <c r="AE56" s="143">
        <f>IF(PRICING[[#This Row],[SKU]]=I55,AE55+1,1)</f>
        <v>1</v>
      </c>
      <c r="AF56" s="185" t="b">
        <v>0</v>
      </c>
    </row>
    <row r="57" spans="1:32" hidden="1" x14ac:dyDescent="0.2">
      <c r="A57" s="143" t="s">
        <v>152</v>
      </c>
      <c r="B57" s="143" t="s">
        <v>153</v>
      </c>
      <c r="C57" s="143" t="s">
        <v>172</v>
      </c>
      <c r="D57" s="143" t="s">
        <v>163</v>
      </c>
      <c r="E57" s="143" t="s">
        <v>156</v>
      </c>
      <c r="F57" s="165" t="s">
        <v>157</v>
      </c>
      <c r="G57" s="166"/>
      <c r="H57" s="165"/>
      <c r="I57" s="167" t="s">
        <v>77</v>
      </c>
      <c r="J57" s="165" t="s">
        <v>246</v>
      </c>
      <c r="K57" t="s">
        <v>159</v>
      </c>
      <c r="L57" s="183">
        <v>68.39</v>
      </c>
      <c r="M57" s="184">
        <v>68.39</v>
      </c>
      <c r="N57" s="144">
        <f t="shared" si="8"/>
        <v>0</v>
      </c>
      <c r="O57" s="170" t="s">
        <v>244</v>
      </c>
      <c r="P57" s="213">
        <v>13</v>
      </c>
      <c r="Q57" s="144">
        <f t="shared" si="3"/>
        <v>55.39</v>
      </c>
      <c r="R57" s="184">
        <v>0</v>
      </c>
      <c r="S57" s="184">
        <v>0</v>
      </c>
      <c r="T57" s="184">
        <v>0</v>
      </c>
      <c r="U57" s="184">
        <v>0</v>
      </c>
      <c r="V57" s="184">
        <v>0</v>
      </c>
      <c r="W57" s="184">
        <v>0</v>
      </c>
      <c r="X57" s="147">
        <v>320</v>
      </c>
      <c r="Y57" s="147">
        <v>1.1000000000000001</v>
      </c>
      <c r="Z57" s="147">
        <v>48</v>
      </c>
      <c r="AA57" s="147">
        <v>0.19</v>
      </c>
      <c r="AB57" s="147">
        <v>8.31</v>
      </c>
      <c r="AC57" s="157">
        <v>0.19008626992250333</v>
      </c>
      <c r="AD57" s="143"/>
      <c r="AE57" s="143">
        <f>IF(PRICING[[#This Row],[SKU]]=I56,AE56+1,1)</f>
        <v>1</v>
      </c>
      <c r="AF57" s="185" t="b">
        <v>0</v>
      </c>
    </row>
    <row r="58" spans="1:32" hidden="1" x14ac:dyDescent="0.2">
      <c r="A58" s="143" t="s">
        <v>152</v>
      </c>
      <c r="B58" s="143" t="s">
        <v>153</v>
      </c>
      <c r="C58" s="143" t="s">
        <v>172</v>
      </c>
      <c r="D58" s="143" t="s">
        <v>163</v>
      </c>
      <c r="E58" s="143" t="s">
        <v>156</v>
      </c>
      <c r="F58" s="165" t="s">
        <v>157</v>
      </c>
      <c r="G58" s="166"/>
      <c r="H58" s="165"/>
      <c r="I58" s="167" t="s">
        <v>78</v>
      </c>
      <c r="J58" s="165" t="s">
        <v>246</v>
      </c>
      <c r="K58" t="s">
        <v>211</v>
      </c>
      <c r="L58" s="183">
        <v>162.49</v>
      </c>
      <c r="M58" s="184">
        <v>162.49</v>
      </c>
      <c r="N58" s="144">
        <f t="shared" si="8"/>
        <v>0</v>
      </c>
      <c r="O58" s="170" t="s">
        <v>244</v>
      </c>
      <c r="P58" s="213">
        <v>32</v>
      </c>
      <c r="Q58" s="144">
        <f t="shared" ref="Q58" si="11">M58-P58</f>
        <v>130.49</v>
      </c>
      <c r="R58" s="184">
        <v>0</v>
      </c>
      <c r="S58" s="184">
        <v>0</v>
      </c>
      <c r="T58" s="184">
        <v>0</v>
      </c>
      <c r="U58" s="184">
        <v>0</v>
      </c>
      <c r="V58" s="184">
        <v>0</v>
      </c>
      <c r="W58" s="184">
        <v>0</v>
      </c>
      <c r="X58" s="147">
        <v>3840</v>
      </c>
      <c r="Y58" s="147">
        <v>1.1000000000000001</v>
      </c>
      <c r="Z58" s="147">
        <v>48</v>
      </c>
      <c r="AA58" s="147">
        <v>0.04</v>
      </c>
      <c r="AB58" s="147">
        <v>1.63</v>
      </c>
      <c r="AC58" s="157">
        <v>0.19693519601206222</v>
      </c>
      <c r="AD58" s="143"/>
      <c r="AE58" s="143">
        <f>IF(PRICING[[#This Row],[SKU]]=I57,AE57+1,1)</f>
        <v>1</v>
      </c>
      <c r="AF58" s="185" t="b">
        <v>0</v>
      </c>
    </row>
    <row r="59" spans="1:32" hidden="1" x14ac:dyDescent="0.2">
      <c r="A59" s="143" t="s">
        <v>152</v>
      </c>
      <c r="B59" s="143" t="s">
        <v>153</v>
      </c>
      <c r="C59" s="143" t="s">
        <v>172</v>
      </c>
      <c r="D59" s="143" t="s">
        <v>163</v>
      </c>
      <c r="E59" s="143" t="s">
        <v>156</v>
      </c>
      <c r="F59" s="165" t="s">
        <v>157</v>
      </c>
      <c r="G59" s="166"/>
      <c r="H59" s="165"/>
      <c r="I59" s="167" t="s">
        <v>79</v>
      </c>
      <c r="J59" s="165" t="s">
        <v>246</v>
      </c>
      <c r="K59" t="s">
        <v>245</v>
      </c>
      <c r="L59" s="183">
        <v>1846.97</v>
      </c>
      <c r="M59" s="184">
        <v>1846.97</v>
      </c>
      <c r="N59" s="144">
        <f t="shared" ref="N59:N61" si="12">L59-M59</f>
        <v>0</v>
      </c>
      <c r="O59" s="170" t="s">
        <v>244</v>
      </c>
      <c r="P59" s="213">
        <v>400</v>
      </c>
      <c r="Q59" s="144">
        <f t="shared" si="3"/>
        <v>1446.97</v>
      </c>
      <c r="R59" s="184">
        <v>0</v>
      </c>
      <c r="S59" s="184">
        <v>0</v>
      </c>
      <c r="T59" s="184">
        <v>0</v>
      </c>
      <c r="U59" s="184">
        <v>0</v>
      </c>
      <c r="V59" s="184">
        <v>0</v>
      </c>
      <c r="W59" s="184">
        <v>0</v>
      </c>
      <c r="X59" s="147">
        <v>128</v>
      </c>
      <c r="Y59" s="147">
        <v>1.1000000000000001</v>
      </c>
      <c r="Z59" s="147">
        <v>48</v>
      </c>
      <c r="AA59" s="147">
        <v>12.46</v>
      </c>
      <c r="AB59" s="147">
        <v>542.61</v>
      </c>
      <c r="AC59" s="157">
        <v>0.21657092427056202</v>
      </c>
      <c r="AD59" s="143"/>
      <c r="AE59" s="143">
        <f>IF(PRICING[[#This Row],[SKU]]=I58,AE58+1,1)</f>
        <v>1</v>
      </c>
      <c r="AF59" s="185" t="b">
        <v>0</v>
      </c>
    </row>
    <row r="60" spans="1:32" hidden="1" x14ac:dyDescent="0.2">
      <c r="A60" s="143" t="s">
        <v>152</v>
      </c>
      <c r="B60" s="143" t="s">
        <v>161</v>
      </c>
      <c r="C60" s="143" t="s">
        <v>154</v>
      </c>
      <c r="D60" s="143" t="s">
        <v>163</v>
      </c>
      <c r="E60" s="143" t="s">
        <v>164</v>
      </c>
      <c r="F60" s="165" t="s">
        <v>157</v>
      </c>
      <c r="G60" s="166"/>
      <c r="H60" s="165"/>
      <c r="I60" s="179">
        <v>86797658</v>
      </c>
      <c r="J60" s="180" t="s">
        <v>247</v>
      </c>
      <c r="K60" s="180" t="s">
        <v>248</v>
      </c>
      <c r="L60" s="183">
        <v>606.72</v>
      </c>
      <c r="M60" s="184">
        <v>606.72</v>
      </c>
      <c r="N60" s="144">
        <f t="shared" ref="N60" si="13">L60-M60</f>
        <v>0</v>
      </c>
      <c r="O60" s="214" t="s">
        <v>249</v>
      </c>
      <c r="P60" s="210">
        <v>40</v>
      </c>
      <c r="Q60" s="144">
        <f t="shared" ref="Q60" si="14">M60-P60</f>
        <v>566.72</v>
      </c>
      <c r="R60" s="184">
        <v>624.77</v>
      </c>
      <c r="S60" s="184">
        <v>624.77</v>
      </c>
      <c r="T60" s="184">
        <v>584.77</v>
      </c>
      <c r="U60" s="184">
        <v>610.97</v>
      </c>
      <c r="V60" s="184">
        <v>610.97</v>
      </c>
      <c r="W60" s="184">
        <v>570.97</v>
      </c>
      <c r="X60" s="147">
        <v>128</v>
      </c>
      <c r="Y60" s="147">
        <v>0.73</v>
      </c>
      <c r="Z60" s="147">
        <v>31.8</v>
      </c>
      <c r="AA60" s="147">
        <v>3.23</v>
      </c>
      <c r="AB60" s="147">
        <v>140.79</v>
      </c>
      <c r="AC60" s="157">
        <v>6.5928270042194037E-2</v>
      </c>
      <c r="AD60" s="143"/>
      <c r="AE60" s="143">
        <f>IF(PRICING[[#This Row],[SKU]]=I59,AE59+1,1)</f>
        <v>1</v>
      </c>
      <c r="AF60" s="185" t="b">
        <v>0</v>
      </c>
    </row>
    <row r="61" spans="1:32" hidden="1" x14ac:dyDescent="0.2">
      <c r="A61" s="143" t="s">
        <v>152</v>
      </c>
      <c r="B61" s="143" t="s">
        <v>161</v>
      </c>
      <c r="C61" s="143" t="s">
        <v>154</v>
      </c>
      <c r="D61" s="143" t="s">
        <v>163</v>
      </c>
      <c r="E61" s="143" t="s">
        <v>164</v>
      </c>
      <c r="F61" s="165" t="s">
        <v>157</v>
      </c>
      <c r="G61" s="166"/>
      <c r="H61" s="165"/>
      <c r="I61" s="181">
        <v>86797658</v>
      </c>
      <c r="J61" s="171" t="s">
        <v>247</v>
      </c>
      <c r="K61" s="171" t="s">
        <v>248</v>
      </c>
      <c r="L61" s="183">
        <v>606.72</v>
      </c>
      <c r="M61" s="184">
        <v>606.72</v>
      </c>
      <c r="N61" s="144">
        <f t="shared" si="12"/>
        <v>0</v>
      </c>
      <c r="O61" s="215" t="s">
        <v>250</v>
      </c>
      <c r="P61" s="210">
        <v>160</v>
      </c>
      <c r="Q61" s="144">
        <f t="shared" si="3"/>
        <v>446.72</v>
      </c>
      <c r="R61" s="184">
        <v>624.77</v>
      </c>
      <c r="S61" s="184">
        <v>624.77</v>
      </c>
      <c r="T61" s="184">
        <v>464.77</v>
      </c>
      <c r="U61" s="184">
        <v>610.97</v>
      </c>
      <c r="V61" s="184">
        <v>610.97</v>
      </c>
      <c r="W61" s="184">
        <v>450.97</v>
      </c>
      <c r="X61" s="147">
        <v>128</v>
      </c>
      <c r="Y61" s="147">
        <v>0.73</v>
      </c>
      <c r="Z61" s="147">
        <v>31.8</v>
      </c>
      <c r="AA61" s="147">
        <v>2.5499999999999998</v>
      </c>
      <c r="AB61" s="147">
        <v>110.98</v>
      </c>
      <c r="AC61" s="157">
        <v>0.26371308016877637</v>
      </c>
      <c r="AD61" s="143"/>
      <c r="AE61" s="143">
        <f>IF(PRICING[[#This Row],[SKU]]=I60,AE60+1,1)</f>
        <v>2</v>
      </c>
      <c r="AF61" s="185" t="b">
        <v>0</v>
      </c>
    </row>
    <row r="62" spans="1:32" hidden="1" x14ac:dyDescent="0.2">
      <c r="A62" s="143" t="s">
        <v>152</v>
      </c>
      <c r="B62" s="143" t="s">
        <v>153</v>
      </c>
      <c r="C62" s="143" t="s">
        <v>154</v>
      </c>
      <c r="D62" s="143" t="s">
        <v>177</v>
      </c>
      <c r="E62" s="143" t="s">
        <v>164</v>
      </c>
      <c r="F62" s="165" t="s">
        <v>157</v>
      </c>
      <c r="G62" s="169" t="s">
        <v>251</v>
      </c>
      <c r="H62" s="165"/>
      <c r="I62" s="182" t="s">
        <v>80</v>
      </c>
      <c r="J62" s="165" t="s">
        <v>252</v>
      </c>
      <c r="K62" t="s">
        <v>198</v>
      </c>
      <c r="L62" s="183">
        <v>64.77</v>
      </c>
      <c r="M62" s="184">
        <v>64.77</v>
      </c>
      <c r="N62" s="144">
        <f>L62-M62</f>
        <v>0</v>
      </c>
      <c r="O62" s="170"/>
      <c r="P62" s="213">
        <v>2</v>
      </c>
      <c r="Q62" s="144">
        <f>M62-P62</f>
        <v>62.769999999999996</v>
      </c>
      <c r="R62" s="184">
        <v>0</v>
      </c>
      <c r="S62" s="184">
        <v>0</v>
      </c>
      <c r="T62" s="184">
        <v>0</v>
      </c>
      <c r="U62" s="184">
        <v>0</v>
      </c>
      <c r="V62" s="184">
        <v>0</v>
      </c>
      <c r="W62" s="184">
        <v>0</v>
      </c>
      <c r="X62" s="147">
        <v>800</v>
      </c>
      <c r="Y62" s="147">
        <v>2</v>
      </c>
      <c r="Z62" s="147">
        <v>87</v>
      </c>
      <c r="AA62" s="147">
        <v>2.5099999999999998</v>
      </c>
      <c r="AB62" s="147">
        <v>109.23</v>
      </c>
      <c r="AC62" s="157">
        <v>3.0878493129535278E-2</v>
      </c>
      <c r="AD62" s="143"/>
      <c r="AE62" s="143">
        <f>IF(PRICING[[#This Row],[SKU]]=I61,AE61+1,1)</f>
        <v>1</v>
      </c>
      <c r="AF62" s="185" t="b">
        <v>0</v>
      </c>
    </row>
    <row r="63" spans="1:32" hidden="1" x14ac:dyDescent="0.2">
      <c r="A63" s="143" t="s">
        <v>152</v>
      </c>
      <c r="B63" s="143" t="s">
        <v>161</v>
      </c>
      <c r="C63" s="143" t="s">
        <v>154</v>
      </c>
      <c r="D63" s="143" t="s">
        <v>177</v>
      </c>
      <c r="E63" s="143" t="s">
        <v>156</v>
      </c>
      <c r="F63" s="165" t="s">
        <v>180</v>
      </c>
      <c r="G63" s="166"/>
      <c r="H63" s="165"/>
      <c r="I63" s="167">
        <v>81746257</v>
      </c>
      <c r="J63" s="143" t="s">
        <v>253</v>
      </c>
      <c r="K63" t="s">
        <v>189</v>
      </c>
      <c r="L63" s="190">
        <v>445.8</v>
      </c>
      <c r="M63" s="184">
        <v>445.8</v>
      </c>
      <c r="N63" s="144">
        <f>L63-M63</f>
        <v>0</v>
      </c>
      <c r="O63" s="196" t="s">
        <v>221</v>
      </c>
      <c r="P63" s="213">
        <v>0</v>
      </c>
      <c r="Q63" s="144">
        <f>M63-P63</f>
        <v>445.8</v>
      </c>
      <c r="R63" s="184">
        <v>459.06</v>
      </c>
      <c r="S63" s="184">
        <v>459.06</v>
      </c>
      <c r="T63" s="184">
        <v>459.06</v>
      </c>
      <c r="U63" s="184">
        <v>448.92</v>
      </c>
      <c r="V63" s="184">
        <v>448.92</v>
      </c>
      <c r="W63" s="184">
        <v>448.92</v>
      </c>
      <c r="X63" s="147">
        <v>6</v>
      </c>
      <c r="Y63" s="147">
        <v>0.02</v>
      </c>
      <c r="Z63" s="147">
        <v>1</v>
      </c>
      <c r="AA63" s="147">
        <v>1.71</v>
      </c>
      <c r="AB63" s="147">
        <v>74.3</v>
      </c>
      <c r="AC63" s="157">
        <v>0</v>
      </c>
      <c r="AD63" s="143"/>
      <c r="AE63" s="143">
        <f>IF(PRICING[[#This Row],[SKU]]=I62,AE62+1,1)</f>
        <v>1</v>
      </c>
      <c r="AF63" s="185" t="b">
        <v>1</v>
      </c>
    </row>
    <row r="64" spans="1:32" hidden="1" x14ac:dyDescent="0.2">
      <c r="A64" s="143" t="s">
        <v>152</v>
      </c>
      <c r="B64" s="143" t="s">
        <v>161</v>
      </c>
      <c r="C64" s="143" t="s">
        <v>154</v>
      </c>
      <c r="D64" s="143" t="s">
        <v>177</v>
      </c>
      <c r="E64" s="143" t="s">
        <v>156</v>
      </c>
      <c r="F64" s="143" t="s">
        <v>180</v>
      </c>
      <c r="G64" s="166"/>
      <c r="H64" s="165"/>
      <c r="I64" s="167">
        <v>81746257</v>
      </c>
      <c r="J64" s="143" t="s">
        <v>253</v>
      </c>
      <c r="K64" t="s">
        <v>189</v>
      </c>
      <c r="L64" s="190">
        <v>445.8</v>
      </c>
      <c r="M64" s="184">
        <v>445.8</v>
      </c>
      <c r="N64" s="144">
        <f t="shared" ref="N64:N67" si="15">L64-M64</f>
        <v>0</v>
      </c>
      <c r="O64" s="196" t="s">
        <v>222</v>
      </c>
      <c r="P64" s="213">
        <v>40</v>
      </c>
      <c r="Q64" s="144">
        <f t="shared" ref="Q64:Q67" si="16">M64-P64</f>
        <v>405.8</v>
      </c>
      <c r="R64" s="184">
        <v>459.06</v>
      </c>
      <c r="S64" s="184">
        <v>459.06</v>
      </c>
      <c r="T64" s="184">
        <v>419.06</v>
      </c>
      <c r="U64" s="184">
        <v>448.92</v>
      </c>
      <c r="V64" s="184">
        <v>448.92</v>
      </c>
      <c r="W64" s="184">
        <v>408.92</v>
      </c>
      <c r="X64" s="147">
        <v>6</v>
      </c>
      <c r="Y64" s="147">
        <v>0.02</v>
      </c>
      <c r="Z64" s="147">
        <v>1</v>
      </c>
      <c r="AA64" s="147">
        <v>1.55</v>
      </c>
      <c r="AB64" s="147">
        <v>67.63</v>
      </c>
      <c r="AC64" s="157">
        <v>8.9726334679228414E-2</v>
      </c>
      <c r="AD64" s="143"/>
      <c r="AE64" s="143">
        <f>IF(PRICING[[#This Row],[SKU]]=I63,AE63+1,1)</f>
        <v>2</v>
      </c>
      <c r="AF64" s="185" t="b">
        <v>1</v>
      </c>
    </row>
    <row r="65" spans="1:32" hidden="1" x14ac:dyDescent="0.2">
      <c r="A65" s="143" t="s">
        <v>187</v>
      </c>
      <c r="B65" s="143" t="s">
        <v>161</v>
      </c>
      <c r="C65" s="143" t="s">
        <v>172</v>
      </c>
      <c r="D65" s="143" t="s">
        <v>163</v>
      </c>
      <c r="E65" s="143" t="s">
        <v>164</v>
      </c>
      <c r="F65" s="143" t="s">
        <v>180</v>
      </c>
      <c r="G65" s="166"/>
      <c r="H65" s="165"/>
      <c r="I65" s="167">
        <v>11008520</v>
      </c>
      <c r="J65" s="143" t="s">
        <v>254</v>
      </c>
      <c r="K65" t="s">
        <v>255</v>
      </c>
      <c r="L65" s="190">
        <v>371.2</v>
      </c>
      <c r="M65" s="184">
        <v>371.2</v>
      </c>
      <c r="N65" s="144">
        <f t="shared" si="15"/>
        <v>0</v>
      </c>
      <c r="O65" s="196" t="s">
        <v>208</v>
      </c>
      <c r="P65" s="195">
        <v>0</v>
      </c>
      <c r="Q65" s="144">
        <f t="shared" si="16"/>
        <v>371.2</v>
      </c>
      <c r="R65" s="184">
        <v>0</v>
      </c>
      <c r="S65" s="184">
        <v>0</v>
      </c>
      <c r="T65" s="184">
        <v>0</v>
      </c>
      <c r="U65" s="184">
        <v>373.8</v>
      </c>
      <c r="V65" s="184">
        <v>373.8</v>
      </c>
      <c r="W65" s="184">
        <v>373.8</v>
      </c>
      <c r="X65" s="147">
        <v>128</v>
      </c>
      <c r="Y65" s="147">
        <v>0.46</v>
      </c>
      <c r="Z65" s="147">
        <v>20.04</v>
      </c>
      <c r="AA65" s="147">
        <v>1.33</v>
      </c>
      <c r="AB65" s="147">
        <v>58.11</v>
      </c>
      <c r="AC65" s="157">
        <v>0</v>
      </c>
      <c r="AD65" s="143"/>
      <c r="AE65" s="143">
        <f>IF(PRICING[[#This Row],[SKU]]=I64,AE64+1,1)</f>
        <v>1</v>
      </c>
      <c r="AF65" s="185" t="b">
        <v>1</v>
      </c>
    </row>
    <row r="66" spans="1:32" hidden="1" x14ac:dyDescent="0.2">
      <c r="A66" s="143" t="s">
        <v>187</v>
      </c>
      <c r="B66" s="143" t="s">
        <v>161</v>
      </c>
      <c r="C66" s="143" t="s">
        <v>172</v>
      </c>
      <c r="D66" s="143" t="s">
        <v>163</v>
      </c>
      <c r="E66" s="143" t="s">
        <v>164</v>
      </c>
      <c r="F66" s="143" t="s">
        <v>180</v>
      </c>
      <c r="G66" s="166"/>
      <c r="H66" s="165"/>
      <c r="I66" s="167">
        <v>11008520</v>
      </c>
      <c r="J66" s="143" t="s">
        <v>254</v>
      </c>
      <c r="K66" t="s">
        <v>255</v>
      </c>
      <c r="L66" s="190">
        <v>371.2</v>
      </c>
      <c r="M66" s="184">
        <v>371.2</v>
      </c>
      <c r="N66" s="144">
        <f t="shared" si="15"/>
        <v>0</v>
      </c>
      <c r="O66" s="196" t="s">
        <v>209</v>
      </c>
      <c r="P66" s="195">
        <v>10</v>
      </c>
      <c r="Q66" s="144">
        <f t="shared" si="16"/>
        <v>361.2</v>
      </c>
      <c r="R66" s="184">
        <v>0</v>
      </c>
      <c r="S66" s="184">
        <v>0</v>
      </c>
      <c r="T66" s="184">
        <v>0</v>
      </c>
      <c r="U66" s="184">
        <v>373.8</v>
      </c>
      <c r="V66" s="184">
        <v>373.8</v>
      </c>
      <c r="W66" s="184">
        <v>363.8</v>
      </c>
      <c r="X66" s="147">
        <v>128</v>
      </c>
      <c r="Y66" s="147">
        <v>0.46</v>
      </c>
      <c r="Z66" s="147">
        <v>20.04</v>
      </c>
      <c r="AA66" s="147">
        <v>1.3</v>
      </c>
      <c r="AB66" s="147">
        <v>56.54</v>
      </c>
      <c r="AC66" s="157">
        <v>2.6939655172413812E-2</v>
      </c>
      <c r="AD66" s="143"/>
      <c r="AE66" s="143">
        <f>IF(PRICING[[#This Row],[SKU]]=I65,AE65+1,1)</f>
        <v>2</v>
      </c>
      <c r="AF66" s="185" t="b">
        <v>1</v>
      </c>
    </row>
    <row r="67" spans="1:32" hidden="1" x14ac:dyDescent="0.2">
      <c r="A67" s="143" t="s">
        <v>187</v>
      </c>
      <c r="B67" s="143" t="s">
        <v>161</v>
      </c>
      <c r="C67" s="143" t="s">
        <v>154</v>
      </c>
      <c r="D67" s="143" t="s">
        <v>163</v>
      </c>
      <c r="E67" s="143" t="s">
        <v>156</v>
      </c>
      <c r="F67" s="143" t="s">
        <v>157</v>
      </c>
      <c r="G67" s="170"/>
      <c r="H67" s="143"/>
      <c r="I67" s="167">
        <v>11008590</v>
      </c>
      <c r="J67" s="143" t="s">
        <v>256</v>
      </c>
      <c r="K67" t="s">
        <v>257</v>
      </c>
      <c r="L67" s="183">
        <v>496.32</v>
      </c>
      <c r="M67" s="184">
        <v>351.12</v>
      </c>
      <c r="N67" s="144">
        <f t="shared" si="15"/>
        <v>145.19999999999999</v>
      </c>
      <c r="O67" s="196" t="s">
        <v>258</v>
      </c>
      <c r="P67" s="197">
        <v>25</v>
      </c>
      <c r="Q67" s="144">
        <f t="shared" si="16"/>
        <v>326.12</v>
      </c>
      <c r="R67" s="184">
        <v>0</v>
      </c>
      <c r="S67" s="184">
        <v>0</v>
      </c>
      <c r="T67" s="184">
        <v>0</v>
      </c>
      <c r="U67" s="184">
        <v>0</v>
      </c>
      <c r="V67" s="184">
        <v>0</v>
      </c>
      <c r="W67" s="184">
        <v>0</v>
      </c>
      <c r="X67" s="147">
        <v>12</v>
      </c>
      <c r="Y67" s="147">
        <v>0.32</v>
      </c>
      <c r="Z67" s="147">
        <v>14</v>
      </c>
      <c r="AA67" s="147">
        <v>8.73</v>
      </c>
      <c r="AB67" s="147">
        <v>380.47</v>
      </c>
      <c r="AC67" s="157">
        <v>0.34292392005157957</v>
      </c>
      <c r="AD67" s="143"/>
      <c r="AE67" s="143">
        <f>IF(PRICING[[#This Row],[SKU]]=I66,AE66+1,1)</f>
        <v>1</v>
      </c>
      <c r="AF67" s="185" t="b">
        <v>0</v>
      </c>
    </row>
    <row r="68" spans="1:32" hidden="1" x14ac:dyDescent="0.2">
      <c r="A68" s="143" t="s">
        <v>187</v>
      </c>
      <c r="B68" s="143" t="s">
        <v>161</v>
      </c>
      <c r="C68" s="143" t="s">
        <v>154</v>
      </c>
      <c r="D68" s="143" t="s">
        <v>163</v>
      </c>
      <c r="E68" s="143" t="s">
        <v>156</v>
      </c>
      <c r="F68" s="143" t="s">
        <v>157</v>
      </c>
      <c r="G68" s="170"/>
      <c r="H68" s="143"/>
      <c r="I68" s="167">
        <v>11008590</v>
      </c>
      <c r="J68" s="143" t="s">
        <v>256</v>
      </c>
      <c r="K68" t="s">
        <v>257</v>
      </c>
      <c r="L68" s="183">
        <v>496.32</v>
      </c>
      <c r="M68" s="184">
        <v>351.12</v>
      </c>
      <c r="N68" s="191">
        <f>L68-M68</f>
        <v>145.19999999999999</v>
      </c>
      <c r="O68" s="170" t="s">
        <v>259</v>
      </c>
      <c r="P68" s="197">
        <v>50</v>
      </c>
      <c r="Q68" s="191">
        <f>M68-P68</f>
        <v>301.12</v>
      </c>
      <c r="R68" s="184">
        <v>0</v>
      </c>
      <c r="S68" s="184">
        <v>0</v>
      </c>
      <c r="T68" s="184">
        <v>0</v>
      </c>
      <c r="U68" s="184">
        <v>0</v>
      </c>
      <c r="V68" s="184">
        <v>0</v>
      </c>
      <c r="W68" s="184">
        <v>0</v>
      </c>
      <c r="X68" s="147">
        <v>12</v>
      </c>
      <c r="Y68" s="147">
        <v>0.32</v>
      </c>
      <c r="Z68" s="147">
        <v>14</v>
      </c>
      <c r="AA68" s="147">
        <v>8.06</v>
      </c>
      <c r="AB68" s="147">
        <v>351.31</v>
      </c>
      <c r="AC68" s="157">
        <v>0.39329464861379748</v>
      </c>
      <c r="AD68" s="192"/>
      <c r="AE68" s="143">
        <f>IF(PRICING[[#This Row],[SKU]]=I67,AE67+1,1)</f>
        <v>2</v>
      </c>
      <c r="AF68" s="185" t="b">
        <v>0</v>
      </c>
    </row>
  </sheetData>
  <sheetProtection algorithmName="SHA-512" hashValue="O+aTrHZBBROdJqtWmhVbWgCj8xsK1/MIdg7RtIVPjYg2JqLAotS68fe/2K0NZvSsnUli0J/ZrZJs5mNhDyGbQQ==" saltValue="qbcPy2V7gq7qrunLJjRfUw==" spinCount="100000" sheet="1" selectLockedCells="1"/>
  <phoneticPr fontId="9" type="noConversion"/>
  <conditionalFormatting sqref="G7:H7">
    <cfRule type="duplicateValues" dxfId="84" priority="48"/>
    <cfRule type="duplicateValues" dxfId="83" priority="49"/>
    <cfRule type="duplicateValues" dxfId="82" priority="50"/>
  </conditionalFormatting>
  <conditionalFormatting sqref="G12:H12">
    <cfRule type="duplicateValues" dxfId="81" priority="42"/>
    <cfRule type="duplicateValues" dxfId="80" priority="43"/>
    <cfRule type="duplicateValues" dxfId="79" priority="44"/>
  </conditionalFormatting>
  <conditionalFormatting sqref="G11:H11">
    <cfRule type="duplicateValues" dxfId="78" priority="45"/>
    <cfRule type="duplicateValues" dxfId="77" priority="46"/>
    <cfRule type="duplicateValues" dxfId="76" priority="47"/>
  </conditionalFormatting>
  <conditionalFormatting sqref="G23">
    <cfRule type="duplicateValues" dxfId="75" priority="39"/>
    <cfRule type="duplicateValues" dxfId="74" priority="40"/>
    <cfRule type="duplicateValues" dxfId="73" priority="41"/>
  </conditionalFormatting>
  <conditionalFormatting sqref="G35:G36">
    <cfRule type="duplicateValues" dxfId="72" priority="36"/>
    <cfRule type="duplicateValues" dxfId="71" priority="37"/>
    <cfRule type="duplicateValues" dxfId="70" priority="38"/>
  </conditionalFormatting>
  <conditionalFormatting sqref="G38">
    <cfRule type="duplicateValues" dxfId="69" priority="33"/>
    <cfRule type="duplicateValues" dxfId="68" priority="34"/>
    <cfRule type="duplicateValues" dxfId="67" priority="35"/>
  </conditionalFormatting>
  <conditionalFormatting sqref="G40">
    <cfRule type="duplicateValues" dxfId="66" priority="30"/>
    <cfRule type="duplicateValues" dxfId="65" priority="31"/>
    <cfRule type="duplicateValues" dxfId="64" priority="32"/>
  </conditionalFormatting>
  <conditionalFormatting sqref="G41:G42">
    <cfRule type="duplicateValues" dxfId="63" priority="27"/>
    <cfRule type="duplicateValues" dxfId="62" priority="28"/>
    <cfRule type="duplicateValues" dxfId="61" priority="29"/>
  </conditionalFormatting>
  <conditionalFormatting sqref="G44">
    <cfRule type="duplicateValues" dxfId="60" priority="24"/>
    <cfRule type="duplicateValues" dxfId="59" priority="25"/>
    <cfRule type="duplicateValues" dxfId="58" priority="26"/>
  </conditionalFormatting>
  <conditionalFormatting sqref="G46">
    <cfRule type="duplicateValues" dxfId="57" priority="21"/>
    <cfRule type="duplicateValues" dxfId="56" priority="22"/>
    <cfRule type="duplicateValues" dxfId="55" priority="23"/>
  </conditionalFormatting>
  <conditionalFormatting sqref="G47">
    <cfRule type="duplicateValues" dxfId="54" priority="18"/>
    <cfRule type="duplicateValues" dxfId="53" priority="19"/>
    <cfRule type="duplicateValues" dxfId="52" priority="20"/>
  </conditionalFormatting>
  <conditionalFormatting sqref="G48">
    <cfRule type="duplicateValues" dxfId="51" priority="12"/>
    <cfRule type="duplicateValues" dxfId="50" priority="13"/>
    <cfRule type="duplicateValues" dxfId="49" priority="14"/>
  </conditionalFormatting>
  <conditionalFormatting sqref="G52">
    <cfRule type="duplicateValues" dxfId="48" priority="15"/>
    <cfRule type="duplicateValues" dxfId="47" priority="16"/>
    <cfRule type="duplicateValues" dxfId="46" priority="17"/>
  </conditionalFormatting>
  <conditionalFormatting sqref="G54">
    <cfRule type="duplicateValues" dxfId="45" priority="9"/>
    <cfRule type="duplicateValues" dxfId="44" priority="10"/>
    <cfRule type="duplicateValues" dxfId="43" priority="11"/>
  </conditionalFormatting>
  <conditionalFormatting sqref="G58">
    <cfRule type="duplicateValues" dxfId="42" priority="7"/>
    <cfRule type="duplicateValues" dxfId="41" priority="8"/>
  </conditionalFormatting>
  <conditionalFormatting sqref="G4:H4">
    <cfRule type="duplicateValues" dxfId="40" priority="1"/>
    <cfRule type="duplicateValues" dxfId="39" priority="2"/>
    <cfRule type="duplicateValues" dxfId="38" priority="3"/>
  </conditionalFormatting>
  <conditionalFormatting sqref="G5:H5">
    <cfRule type="duplicateValues" dxfId="37" priority="4"/>
    <cfRule type="duplicateValues" dxfId="36" priority="5"/>
    <cfRule type="duplicateValues" dxfId="35" priority="6"/>
  </conditionalFormatting>
  <pageMargins left="0.7" right="0.7" top="0.75" bottom="0.75" header="0.3" footer="0.3"/>
  <legacy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2380346-af75-4b42-99cb-3c92ab0c847d">
      <Terms xmlns="http://schemas.microsoft.com/office/infopath/2007/PartnerControls"/>
    </lcf76f155ced4ddcb4097134ff3c332f>
    <TaxCatchAll xmlns="c4df1d42-0b6e-4c9a-bde1-371b1f6221f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746DD53A9704547929D8108F65BA31E" ma:contentTypeVersion="25" ma:contentTypeDescription="Create a new document." ma:contentTypeScope="" ma:versionID="8bf4d526fd7f8bef273f6a4edf301a37">
  <xsd:schema xmlns:xsd="http://www.w3.org/2001/XMLSchema" xmlns:xs="http://www.w3.org/2001/XMLSchema" xmlns:p="http://schemas.microsoft.com/office/2006/metadata/properties" xmlns:ns2="12380346-af75-4b42-99cb-3c92ab0c847d" xmlns:ns3="c4df1d42-0b6e-4c9a-bde1-371b1f6221f7" targetNamespace="http://schemas.microsoft.com/office/2006/metadata/properties" ma:root="true" ma:fieldsID="a2173371b9a2d3e19eaa774599d93449" ns2:_="" ns3:_="">
    <xsd:import namespace="12380346-af75-4b42-99cb-3c92ab0c847d"/>
    <xsd:import namespace="c4df1d42-0b6e-4c9a-bde1-371b1f6221f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380346-af75-4b42-99cb-3c92ab0c847d"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2a2e794-9366-4967-bc2f-bbaf13cd7d6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df1d42-0b6e-4c9a-bde1-371b1f6221f7" elementFormDefault="qualified">
    <xsd:import namespace="http://schemas.microsoft.com/office/2006/documentManagement/types"/>
    <xsd:import namespace="http://schemas.microsoft.com/office/infopath/2007/PartnerControls"/>
    <xsd:element name="SharedWithUsers" ma:index="7"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c5d722-6427-4129-9b77-ff15ac65cb56}" ma:internalName="TaxCatchAll" ma:showField="CatchAllData" ma:web="c4df1d42-0b6e-4c9a-bde1-371b1f6221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020324-E972-4380-B490-A0B2AE8079A5}">
  <ds:schemaRefs>
    <ds:schemaRef ds:uri="http://schemas.microsoft.com/sharepoint/v3/contenttype/forms"/>
  </ds:schemaRefs>
</ds:datastoreItem>
</file>

<file path=customXml/itemProps2.xml><?xml version="1.0" encoding="utf-8"?>
<ds:datastoreItem xmlns:ds="http://schemas.openxmlformats.org/officeDocument/2006/customXml" ds:itemID="{154CEA1D-39B6-4359-AB58-DBC07F3E3B1D}">
  <ds:schemaRefs>
    <ds:schemaRef ds:uri="http://schemas.microsoft.com/office/2006/metadata/properties"/>
    <ds:schemaRef ds:uri="http://schemas.microsoft.com/office/infopath/2007/PartnerControls"/>
    <ds:schemaRef ds:uri="12380346-af75-4b42-99cb-3c92ab0c847d"/>
    <ds:schemaRef ds:uri="c4df1d42-0b6e-4c9a-bde1-371b1f6221f7"/>
  </ds:schemaRefs>
</ds:datastoreItem>
</file>

<file path=customXml/itemProps3.xml><?xml version="1.0" encoding="utf-8"?>
<ds:datastoreItem xmlns:ds="http://schemas.openxmlformats.org/officeDocument/2006/customXml" ds:itemID="{6C5717FF-F54B-46FA-9077-FC71F91A80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380346-af75-4b42-99cb-3c92ab0c847d"/>
    <ds:schemaRef ds:uri="c4df1d42-0b6e-4c9a-bde1-371b1f6221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Estimates</vt:lpstr>
      <vt:lpstr>SUMMARY-UNITS(2026)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Mahendar Jupaka [C]</dc:creator>
  <cp:keywords/>
  <dc:description/>
  <cp:lastModifiedBy>Matt Kinnard</cp:lastModifiedBy>
  <cp:revision/>
  <dcterms:created xsi:type="dcterms:W3CDTF">2026-06-09T09:55:37Z</dcterms:created>
  <dcterms:modified xsi:type="dcterms:W3CDTF">2026-10-13T17:01:53Z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2704955-3550-4c1c-9097-1672b88a0b7a_Enabled">
    <vt:lpwstr>true</vt:lpwstr>
  </property>
  <property fmtid="{D5CDD505-2E9C-101B-9397-08002B2CF9AE}" pid="3" name="MSIP_Label_52704955-3550-4c1c-9097-1672b88a0b7a_SetDate">
    <vt:lpwstr>2026-06-10T10:01:01Z</vt:lpwstr>
  </property>
  <property fmtid="{D5CDD505-2E9C-101B-9397-08002B2CF9AE}" pid="4" name="MSIP_Label_52704955-3550-4c1c-9097-1672b88a0b7a_Method">
    <vt:lpwstr>Standard</vt:lpwstr>
  </property>
  <property fmtid="{D5CDD505-2E9C-101B-9397-08002B2CF9AE}" pid="5" name="MSIP_Label_52704955-3550-4c1c-9097-1672b88a0b7a_Name">
    <vt:lpwstr>RESTRICTED</vt:lpwstr>
  </property>
  <property fmtid="{D5CDD505-2E9C-101B-9397-08002B2CF9AE}" pid="6" name="MSIP_Label_52704955-3550-4c1c-9097-1672b88a0b7a_SiteId">
    <vt:lpwstr>c4dedb74-d916-4ef4-b6b5-af80c59e9742</vt:lpwstr>
  </property>
  <property fmtid="{D5CDD505-2E9C-101B-9397-08002B2CF9AE}" pid="7" name="MSIP_Label_52704955-3550-4c1c-9097-1672b88a0b7a_ActionId">
    <vt:lpwstr>a7dff1eb-ba0e-445a-904f-b73862c290cf</vt:lpwstr>
  </property>
  <property fmtid="{D5CDD505-2E9C-101B-9397-08002B2CF9AE}" pid="8" name="MSIP_Label_52704955-3550-4c1c-9097-1672b88a0b7a_ContentBits">
    <vt:lpwstr>0</vt:lpwstr>
  </property>
  <property fmtid="{D5CDD505-2E9C-101B-9397-08002B2CF9AE}" pid="9" name="MSIP_Label_52704955-3550-4c1c-9097-1672b88a0b7a_Tag">
    <vt:lpwstr>10, 3, 0, 1</vt:lpwstr>
  </property>
  <property fmtid="{D5CDD505-2E9C-101B-9397-08002B2CF9AE}" pid="10" name="ContentTypeId">
    <vt:lpwstr>0x0101003746DD53A9704547929D8108F65BA31E</vt:lpwstr>
  </property>
  <property fmtid="{D5CDD505-2E9C-101B-9397-08002B2CF9AE}" pid="11" name="c2b5fb8256bd435bb7806ac3891e195b">
    <vt:lpwstr>Short-Term|6d967203-8346-4b9c-90f8-b3828a3fa508</vt:lpwstr>
  </property>
  <property fmtid="{D5CDD505-2E9C-101B-9397-08002B2CF9AE}" pid="12" name="MediaServiceImageTags">
    <vt:lpwstr/>
  </property>
  <property fmtid="{D5CDD505-2E9C-101B-9397-08002B2CF9AE}" pid="13" name="DataClassBayerRetention">
    <vt:lpwstr>1;#Short-Term|6d967203-8346-4b9c-90f8-b3828a3fa508</vt:lpwstr>
  </property>
</Properties>
</file>