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nufarm-my.sharepoint.com/personal/david_wells_nufarm_com/Documents/Documents/EOP/2025/Calculator/"/>
    </mc:Choice>
  </mc:AlternateContent>
  <xr:revisionPtr revIDLastSave="13" documentId="8_{961059C8-BD05-41E0-A24B-BBCABC16FF07}" xr6:coauthVersionLast="47" xr6:coauthVersionMax="47" xr10:uidLastSave="{B92FCFCA-9956-4832-AE7E-EC061DB4B684}"/>
  <workbookProtection workbookAlgorithmName="SHA-512" workbookHashValue="FcNi1IhMKzaOTpsaSDYP691veMEuUIxNzJD4S5HFF0CUHG/NTWAXXl2DBp9VubNX+C7nVWVfAdDdmaD6eddjog==" workbookSaltValue="ZQzcYqfLznk2OHBoGW8LBA==" workbookSpinCount="100000" lockStructure="1"/>
  <bookViews>
    <workbookView xWindow="-120" yWindow="-120" windowWidth="29040" windowHeight="15720" xr2:uid="{A5EAFC43-CEC8-440B-A385-E3CB34227E7E}"/>
  </bookViews>
  <sheets>
    <sheet name="Nufarm Edge Rewards Calculator" sheetId="1" r:id="rId1"/>
    <sheet name="Rebate Reference Table" sheetId="2" state="hidden" r:id="rId2"/>
  </sheets>
  <definedNames>
    <definedName name="_xlnm._FilterDatabase" localSheetId="0" hidden="1">'Nufarm Edge Rewards Calculator'!$D$18:$O$115</definedName>
    <definedName name="_xlnm._FilterDatabase" localSheetId="1" hidden="1">'Rebate Reference Table'!#REF!</definedName>
    <definedName name="_xlnm.Print_Area" localSheetId="0">'Nufarm Edge Rewards Calculator'!$A$1:$O$115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2" l="1"/>
  <c r="F95" i="2"/>
  <c r="F99" i="2"/>
  <c r="J95" i="2"/>
  <c r="M95" i="2"/>
  <c r="N76" i="1"/>
  <c r="M9" i="2"/>
  <c r="J9" i="2"/>
  <c r="F9" i="2"/>
  <c r="E9" i="2"/>
  <c r="M74" i="2" l="1"/>
  <c r="J74" i="2"/>
  <c r="F74" i="2"/>
  <c r="E74" i="2"/>
  <c r="N65" i="1"/>
  <c r="M64" i="2"/>
  <c r="J64" i="2"/>
  <c r="F64" i="2"/>
  <c r="E64" i="2"/>
  <c r="N38" i="1"/>
  <c r="N40" i="1" l="1"/>
  <c r="N41" i="1"/>
  <c r="M104" i="2" l="1"/>
  <c r="J104" i="2"/>
  <c r="F104" i="2"/>
  <c r="E104" i="2"/>
  <c r="M105" i="2"/>
  <c r="J105" i="2"/>
  <c r="F105" i="2"/>
  <c r="E105" i="2"/>
  <c r="N42" i="1"/>
  <c r="M119" i="2"/>
  <c r="J119" i="2"/>
  <c r="F119" i="2"/>
  <c r="E119" i="2"/>
  <c r="N24" i="1"/>
  <c r="E7" i="2" l="1"/>
  <c r="F7" i="2"/>
  <c r="J7" i="2"/>
  <c r="M7" i="2"/>
  <c r="E8" i="2"/>
  <c r="F8" i="2"/>
  <c r="J8" i="2"/>
  <c r="M8" i="2"/>
  <c r="E10" i="2"/>
  <c r="F10" i="2"/>
  <c r="J10" i="2"/>
  <c r="M10" i="2"/>
  <c r="N74" i="1"/>
  <c r="N77" i="1"/>
  <c r="N75" i="1"/>
  <c r="N112" i="1" l="1"/>
  <c r="N111" i="1"/>
  <c r="N60" i="1" l="1"/>
  <c r="N48" i="1"/>
  <c r="N47" i="1"/>
  <c r="M90" i="2" l="1"/>
  <c r="J90" i="2"/>
  <c r="F90" i="2"/>
  <c r="E90" i="2"/>
  <c r="M44" i="2" l="1"/>
  <c r="J44" i="2"/>
  <c r="F44" i="2"/>
  <c r="E44" i="2"/>
  <c r="M109" i="2" l="1"/>
  <c r="J109" i="2"/>
  <c r="F109" i="2"/>
  <c r="E109" i="2"/>
  <c r="N44" i="1"/>
  <c r="M70" i="2"/>
  <c r="J70" i="2"/>
  <c r="F70" i="2"/>
  <c r="E70" i="2"/>
  <c r="M94" i="2"/>
  <c r="J94" i="2"/>
  <c r="F94" i="2"/>
  <c r="E94" i="2"/>
  <c r="N35" i="1" l="1"/>
  <c r="E29" i="2" l="1"/>
  <c r="F29" i="2"/>
  <c r="J29" i="2"/>
  <c r="M29" i="2"/>
  <c r="N96" i="1"/>
  <c r="N95" i="1"/>
  <c r="E101" i="2"/>
  <c r="M113" i="2"/>
  <c r="J113" i="2"/>
  <c r="F113" i="2"/>
  <c r="E113" i="2"/>
  <c r="M49" i="2" l="1"/>
  <c r="J49" i="2"/>
  <c r="F49" i="2"/>
  <c r="E49" i="2"/>
  <c r="N115" i="1"/>
  <c r="M122" i="2"/>
  <c r="F122" i="2"/>
  <c r="E122" i="2"/>
  <c r="M117" i="2"/>
  <c r="F117" i="2"/>
  <c r="E117" i="2"/>
  <c r="N22" i="1"/>
  <c r="M112" i="2" l="1"/>
  <c r="J112" i="2"/>
  <c r="F112" i="2"/>
  <c r="E112" i="2"/>
  <c r="M108" i="2"/>
  <c r="J108" i="2"/>
  <c r="F108" i="2"/>
  <c r="E108" i="2"/>
  <c r="F101" i="2"/>
  <c r="M89" i="2"/>
  <c r="J89" i="2"/>
  <c r="F89" i="2"/>
  <c r="E89" i="2"/>
  <c r="M85" i="2"/>
  <c r="J85" i="2"/>
  <c r="F85" i="2"/>
  <c r="E85" i="2"/>
  <c r="N30" i="1"/>
  <c r="M82" i="2"/>
  <c r="J82" i="2"/>
  <c r="F82" i="2"/>
  <c r="E82" i="2"/>
  <c r="M79" i="2"/>
  <c r="J79" i="2"/>
  <c r="F79" i="2"/>
  <c r="E79" i="2"/>
  <c r="M78" i="2"/>
  <c r="J78" i="2"/>
  <c r="F78" i="2"/>
  <c r="E78" i="2"/>
  <c r="N68" i="1"/>
  <c r="M72" i="2"/>
  <c r="J72" i="2"/>
  <c r="F72" i="2"/>
  <c r="E72" i="2"/>
  <c r="M69" i="2"/>
  <c r="J69" i="2"/>
  <c r="F69" i="2"/>
  <c r="E69" i="2"/>
  <c r="M65" i="2"/>
  <c r="J65" i="2"/>
  <c r="F65" i="2"/>
  <c r="E65" i="2"/>
  <c r="M60" i="2" l="1"/>
  <c r="J60" i="2"/>
  <c r="F60" i="2"/>
  <c r="E60" i="2"/>
  <c r="N59" i="1"/>
  <c r="M58" i="2"/>
  <c r="J58" i="2"/>
  <c r="F58" i="2"/>
  <c r="E58" i="2"/>
  <c r="N57" i="1"/>
  <c r="M54" i="2"/>
  <c r="J54" i="2"/>
  <c r="F54" i="2"/>
  <c r="E54" i="2"/>
  <c r="N51" i="1"/>
  <c r="M40" i="2" l="1"/>
  <c r="J40" i="2"/>
  <c r="F40" i="2"/>
  <c r="E40" i="2"/>
  <c r="N109" i="1"/>
  <c r="N107" i="1" l="1"/>
  <c r="N106" i="1"/>
  <c r="N105" i="1"/>
  <c r="E36" i="2" l="1"/>
  <c r="F36" i="2"/>
  <c r="J36" i="2"/>
  <c r="M36" i="2"/>
  <c r="E37" i="2"/>
  <c r="F37" i="2"/>
  <c r="J37" i="2"/>
  <c r="M37" i="2"/>
  <c r="E38" i="2"/>
  <c r="F38" i="2"/>
  <c r="J38" i="2"/>
  <c r="M38" i="2"/>
  <c r="F34" i="2"/>
  <c r="E34" i="2"/>
  <c r="N101" i="1"/>
  <c r="M16" i="2"/>
  <c r="J16" i="2"/>
  <c r="F16" i="2"/>
  <c r="E16" i="2"/>
  <c r="N83" i="1"/>
  <c r="M13" i="2"/>
  <c r="J13" i="2"/>
  <c r="F13" i="2"/>
  <c r="E13" i="2"/>
  <c r="N79" i="1"/>
  <c r="E124" i="2" l="1"/>
  <c r="N23" i="1"/>
  <c r="M118" i="2"/>
  <c r="J118" i="2"/>
  <c r="F118" i="2"/>
  <c r="E118" i="2"/>
  <c r="N110" i="1" l="1"/>
  <c r="N90" i="1"/>
  <c r="M43" i="2" l="1"/>
  <c r="J43" i="2"/>
  <c r="F43" i="2"/>
  <c r="E43" i="2"/>
  <c r="M42" i="2"/>
  <c r="J42" i="2"/>
  <c r="F42" i="2"/>
  <c r="E42" i="2"/>
  <c r="N43" i="1"/>
  <c r="M107" i="2"/>
  <c r="J107" i="2"/>
  <c r="F107" i="2"/>
  <c r="E107" i="2"/>
  <c r="M106" i="2"/>
  <c r="J106" i="2"/>
  <c r="F106" i="2"/>
  <c r="E106" i="2"/>
  <c r="M27" i="2"/>
  <c r="J27" i="2"/>
  <c r="F27" i="2"/>
  <c r="E27" i="2"/>
  <c r="N94" i="1"/>
  <c r="N91" i="1"/>
  <c r="M23" i="2"/>
  <c r="J23" i="2"/>
  <c r="F23" i="2"/>
  <c r="E23" i="2"/>
  <c r="M20" i="2"/>
  <c r="J20" i="2"/>
  <c r="F20" i="2"/>
  <c r="E20" i="2"/>
  <c r="N87" i="1"/>
  <c r="M116" i="2"/>
  <c r="M120" i="2"/>
  <c r="M121" i="2"/>
  <c r="J120" i="2"/>
  <c r="E120" i="2"/>
  <c r="F120" i="2"/>
  <c r="E121" i="2"/>
  <c r="F121" i="2"/>
  <c r="N26" i="1"/>
  <c r="N25" i="1"/>
  <c r="M6" i="2"/>
  <c r="J6" i="2"/>
  <c r="F6" i="2"/>
  <c r="E6" i="2"/>
  <c r="N73" i="1"/>
  <c r="N62" i="1"/>
  <c r="N31" i="1"/>
  <c r="N32" i="1"/>
  <c r="N70" i="1" l="1"/>
  <c r="N69" i="1"/>
  <c r="N67" i="1"/>
  <c r="N66" i="1"/>
  <c r="N64" i="1"/>
  <c r="N63" i="1"/>
  <c r="N61" i="1"/>
  <c r="E100" i="2" l="1"/>
  <c r="F100" i="2"/>
  <c r="N34" i="1"/>
  <c r="N108" i="1" l="1"/>
  <c r="N98" i="1" l="1"/>
  <c r="N97" i="1"/>
  <c r="N81" i="1"/>
  <c r="N80" i="1"/>
  <c r="E33" i="2"/>
  <c r="F33" i="2"/>
  <c r="N100" i="1"/>
  <c r="N21" i="1" l="1"/>
  <c r="N20" i="1"/>
  <c r="N33" i="1"/>
  <c r="N58" i="1"/>
  <c r="N55" i="1"/>
  <c r="N54" i="1"/>
  <c r="N53" i="1"/>
  <c r="N52" i="1"/>
  <c r="N37" i="1"/>
  <c r="N36" i="1"/>
  <c r="N114" i="1"/>
  <c r="N104" i="1"/>
  <c r="N102" i="1"/>
  <c r="N88" i="1"/>
  <c r="N84" i="1"/>
  <c r="N92" i="1"/>
  <c r="N85" i="1"/>
  <c r="N46" i="1"/>
  <c r="N45" i="1"/>
  <c r="N29" i="1"/>
  <c r="N113" i="1"/>
  <c r="N103" i="1"/>
  <c r="N99" i="1"/>
  <c r="N93" i="1"/>
  <c r="N89" i="1"/>
  <c r="N86" i="1"/>
  <c r="N82" i="1"/>
  <c r="N39" i="1"/>
  <c r="N78" i="1"/>
  <c r="N72" i="1"/>
  <c r="N50" i="1"/>
  <c r="N56" i="1"/>
  <c r="E116" i="2" l="1"/>
  <c r="F116" i="2"/>
  <c r="E110" i="2"/>
  <c r="F110" i="2"/>
  <c r="E97" i="2"/>
  <c r="F97" i="2"/>
  <c r="E56" i="2"/>
  <c r="F56" i="2"/>
  <c r="E52" i="2"/>
  <c r="F52" i="2"/>
  <c r="F11" i="2" l="1"/>
  <c r="F12" i="2"/>
  <c r="F14" i="2"/>
  <c r="F15" i="2"/>
  <c r="F17" i="2"/>
  <c r="F18" i="2"/>
  <c r="F19" i="2"/>
  <c r="F21" i="2"/>
  <c r="F22" i="2"/>
  <c r="F24" i="2"/>
  <c r="F25" i="2"/>
  <c r="F26" i="2"/>
  <c r="F28" i="2"/>
  <c r="F30" i="2"/>
  <c r="F31" i="2"/>
  <c r="F32" i="2"/>
  <c r="F35" i="2"/>
  <c r="F39" i="2"/>
  <c r="F41" i="2"/>
  <c r="F45" i="2"/>
  <c r="F46" i="2"/>
  <c r="F47" i="2"/>
  <c r="F48" i="2"/>
  <c r="F50" i="2"/>
  <c r="F51" i="2"/>
  <c r="F53" i="2"/>
  <c r="F55" i="2"/>
  <c r="F57" i="2"/>
  <c r="F59" i="2"/>
  <c r="F61" i="2"/>
  <c r="F62" i="2"/>
  <c r="F63" i="2"/>
  <c r="F66" i="2"/>
  <c r="F67" i="2"/>
  <c r="F68" i="2"/>
  <c r="F71" i="2"/>
  <c r="F73" i="2"/>
  <c r="F75" i="2"/>
  <c r="F76" i="2"/>
  <c r="F77" i="2"/>
  <c r="F80" i="2"/>
  <c r="F81" i="2"/>
  <c r="F83" i="2"/>
  <c r="F84" i="2"/>
  <c r="F86" i="2"/>
  <c r="F87" i="2"/>
  <c r="F88" i="2"/>
  <c r="F91" i="2"/>
  <c r="F92" i="2"/>
  <c r="F93" i="2"/>
  <c r="F96" i="2"/>
  <c r="F98" i="2"/>
  <c r="F102" i="2"/>
  <c r="F103" i="2"/>
  <c r="F111" i="2"/>
  <c r="F114" i="2"/>
  <c r="F115" i="2"/>
  <c r="F123" i="2"/>
  <c r="F124" i="2"/>
  <c r="F125" i="2"/>
  <c r="F5" i="2"/>
  <c r="E11" i="2"/>
  <c r="E12" i="2"/>
  <c r="E14" i="2"/>
  <c r="E15" i="2"/>
  <c r="E17" i="2"/>
  <c r="E18" i="2"/>
  <c r="E19" i="2"/>
  <c r="E21" i="2"/>
  <c r="E22" i="2"/>
  <c r="E24" i="2"/>
  <c r="E25" i="2"/>
  <c r="E26" i="2"/>
  <c r="E28" i="2"/>
  <c r="E30" i="2"/>
  <c r="E31" i="2"/>
  <c r="E32" i="2"/>
  <c r="E35" i="2"/>
  <c r="E39" i="2"/>
  <c r="E41" i="2"/>
  <c r="E45" i="2"/>
  <c r="E46" i="2"/>
  <c r="E47" i="2"/>
  <c r="E48" i="2"/>
  <c r="E50" i="2"/>
  <c r="E51" i="2"/>
  <c r="E53" i="2"/>
  <c r="E55" i="2"/>
  <c r="E57" i="2"/>
  <c r="E59" i="2"/>
  <c r="E61" i="2"/>
  <c r="E62" i="2"/>
  <c r="E63" i="2"/>
  <c r="E66" i="2"/>
  <c r="E67" i="2"/>
  <c r="E68" i="2"/>
  <c r="E71" i="2"/>
  <c r="E73" i="2"/>
  <c r="E75" i="2"/>
  <c r="E76" i="2"/>
  <c r="E77" i="2"/>
  <c r="E80" i="2"/>
  <c r="E81" i="2"/>
  <c r="E83" i="2"/>
  <c r="E84" i="2"/>
  <c r="E86" i="2"/>
  <c r="E87" i="2"/>
  <c r="E88" i="2"/>
  <c r="E91" i="2"/>
  <c r="E92" i="2"/>
  <c r="E93" i="2"/>
  <c r="E96" i="2"/>
  <c r="E98" i="2"/>
  <c r="E99" i="2"/>
  <c r="E102" i="2"/>
  <c r="E103" i="2"/>
  <c r="E111" i="2"/>
  <c r="E114" i="2"/>
  <c r="E115" i="2"/>
  <c r="E123" i="2"/>
  <c r="E125" i="2"/>
  <c r="E5" i="2"/>
  <c r="I76" i="1" s="1"/>
  <c r="O76" i="1" s="1"/>
  <c r="M125" i="2"/>
  <c r="J125" i="2"/>
  <c r="M124" i="2"/>
  <c r="J124" i="2"/>
  <c r="M123" i="2"/>
  <c r="J123" i="2"/>
  <c r="M115" i="2"/>
  <c r="J115" i="2"/>
  <c r="M111" i="2"/>
  <c r="J111" i="2"/>
  <c r="M103" i="2"/>
  <c r="J103" i="2"/>
  <c r="M102" i="2"/>
  <c r="J102" i="2"/>
  <c r="M99" i="2"/>
  <c r="J99" i="2"/>
  <c r="M98" i="2"/>
  <c r="J98" i="2"/>
  <c r="M96" i="2"/>
  <c r="J96" i="2"/>
  <c r="M93" i="2"/>
  <c r="J93" i="2"/>
  <c r="M92" i="2"/>
  <c r="J92" i="2"/>
  <c r="M91" i="2"/>
  <c r="J91" i="2"/>
  <c r="M88" i="2"/>
  <c r="J88" i="2"/>
  <c r="M87" i="2"/>
  <c r="J87" i="2"/>
  <c r="M86" i="2"/>
  <c r="J86" i="2"/>
  <c r="M84" i="2"/>
  <c r="J84" i="2"/>
  <c r="M81" i="2"/>
  <c r="J81" i="2"/>
  <c r="M80" i="2"/>
  <c r="J80" i="2"/>
  <c r="M77" i="2"/>
  <c r="J77" i="2"/>
  <c r="M76" i="2"/>
  <c r="J76" i="2"/>
  <c r="M75" i="2"/>
  <c r="J75" i="2"/>
  <c r="M73" i="2"/>
  <c r="J73" i="2"/>
  <c r="M71" i="2"/>
  <c r="J71" i="2"/>
  <c r="M68" i="2"/>
  <c r="J68" i="2"/>
  <c r="M67" i="2"/>
  <c r="J67" i="2"/>
  <c r="M66" i="2"/>
  <c r="J66" i="2"/>
  <c r="M63" i="2"/>
  <c r="J63" i="2"/>
  <c r="M62" i="2"/>
  <c r="J62" i="2"/>
  <c r="M61" i="2"/>
  <c r="J61" i="2"/>
  <c r="M59" i="2"/>
  <c r="J59" i="2"/>
  <c r="M57" i="2"/>
  <c r="J57" i="2"/>
  <c r="M55" i="2"/>
  <c r="J55" i="2"/>
  <c r="M53" i="2"/>
  <c r="J53" i="2"/>
  <c r="M51" i="2"/>
  <c r="J51" i="2"/>
  <c r="M48" i="2"/>
  <c r="J48" i="2"/>
  <c r="M47" i="2"/>
  <c r="J47" i="2"/>
  <c r="M46" i="2"/>
  <c r="J46" i="2"/>
  <c r="M45" i="2"/>
  <c r="J45" i="2"/>
  <c r="M41" i="2"/>
  <c r="J41" i="2"/>
  <c r="M39" i="2"/>
  <c r="J39" i="2"/>
  <c r="M35" i="2"/>
  <c r="J35" i="2"/>
  <c r="M32" i="2"/>
  <c r="J32" i="2"/>
  <c r="M31" i="2"/>
  <c r="J31" i="2"/>
  <c r="M30" i="2"/>
  <c r="J30" i="2"/>
  <c r="M28" i="2"/>
  <c r="J28" i="2"/>
  <c r="M26" i="2"/>
  <c r="J26" i="2"/>
  <c r="M25" i="2"/>
  <c r="J25" i="2"/>
  <c r="M24" i="2"/>
  <c r="J24" i="2"/>
  <c r="M22" i="2"/>
  <c r="J22" i="2"/>
  <c r="M21" i="2"/>
  <c r="J21" i="2"/>
  <c r="M19" i="2"/>
  <c r="J19" i="2"/>
  <c r="M18" i="2"/>
  <c r="J18" i="2"/>
  <c r="M17" i="2"/>
  <c r="J17" i="2"/>
  <c r="M15" i="2"/>
  <c r="J15" i="2"/>
  <c r="M14" i="2"/>
  <c r="J14" i="2"/>
  <c r="M12" i="2"/>
  <c r="J12" i="2"/>
  <c r="M11" i="2"/>
  <c r="J11" i="2"/>
  <c r="M5" i="2"/>
  <c r="J5" i="2"/>
  <c r="I66" i="1" l="1"/>
  <c r="O66" i="1" s="1"/>
  <c r="I65" i="1"/>
  <c r="O65" i="1" s="1"/>
  <c r="I38" i="1"/>
  <c r="O38" i="1" s="1"/>
  <c r="I75" i="1"/>
  <c r="O75" i="1" s="1"/>
  <c r="I24" i="1"/>
  <c r="O24" i="1" s="1"/>
  <c r="I42" i="1"/>
  <c r="O42" i="1" s="1"/>
  <c r="I41" i="1"/>
  <c r="O41" i="1" s="1"/>
  <c r="I74" i="1"/>
  <c r="O74" i="1" s="1"/>
  <c r="I77" i="1"/>
  <c r="O77" i="1" s="1"/>
  <c r="I112" i="1"/>
  <c r="O112" i="1" s="1"/>
  <c r="I44" i="1"/>
  <c r="O44" i="1" s="1"/>
  <c r="I35" i="1"/>
  <c r="O35" i="1" s="1"/>
  <c r="I95" i="1"/>
  <c r="O95" i="1" s="1"/>
  <c r="I96" i="1"/>
  <c r="O96" i="1" s="1"/>
  <c r="I47" i="1"/>
  <c r="O47" i="1" s="1"/>
  <c r="I115" i="1"/>
  <c r="O115" i="1" s="1"/>
  <c r="I26" i="1"/>
  <c r="O26" i="1" s="1"/>
  <c r="I27" i="1"/>
  <c r="O27" i="1" s="1"/>
  <c r="I25" i="1"/>
  <c r="O25" i="1" s="1"/>
  <c r="I22" i="1"/>
  <c r="O22" i="1" s="1"/>
  <c r="I21" i="1"/>
  <c r="O21" i="1" s="1"/>
  <c r="I48" i="1"/>
  <c r="O48" i="1" s="1"/>
  <c r="I46" i="1"/>
  <c r="O46" i="1" s="1"/>
  <c r="I43" i="1"/>
  <c r="O43" i="1" s="1"/>
  <c r="I37" i="1"/>
  <c r="O37" i="1" s="1"/>
  <c r="I30" i="1"/>
  <c r="O30" i="1" s="1"/>
  <c r="I68" i="1"/>
  <c r="O68" i="1" s="1"/>
  <c r="I59" i="1"/>
  <c r="O59" i="1" s="1"/>
  <c r="I55" i="1"/>
  <c r="O55" i="1" s="1"/>
  <c r="I57" i="1"/>
  <c r="O57" i="1" s="1"/>
  <c r="I51" i="1"/>
  <c r="O51" i="1" s="1"/>
  <c r="I53" i="1"/>
  <c r="O53" i="1" s="1"/>
  <c r="I94" i="1"/>
  <c r="O94" i="1" s="1"/>
  <c r="I109" i="1"/>
  <c r="O109" i="1" s="1"/>
  <c r="I110" i="1"/>
  <c r="O110" i="1" s="1"/>
  <c r="I106" i="1"/>
  <c r="O106" i="1" s="1"/>
  <c r="I107" i="1"/>
  <c r="O107" i="1" s="1"/>
  <c r="I105" i="1"/>
  <c r="O105" i="1" s="1"/>
  <c r="I101" i="1"/>
  <c r="O101" i="1" s="1"/>
  <c r="I100" i="1"/>
  <c r="O100" i="1" s="1"/>
  <c r="I102" i="1"/>
  <c r="O102" i="1" s="1"/>
  <c r="I80" i="1"/>
  <c r="O80" i="1" s="1"/>
  <c r="I79" i="1"/>
  <c r="O79" i="1" s="1"/>
  <c r="I85" i="1"/>
  <c r="O85" i="1" s="1"/>
  <c r="I92" i="1"/>
  <c r="O92" i="1" s="1"/>
  <c r="I90" i="1"/>
  <c r="O90" i="1" s="1"/>
  <c r="I78" i="1"/>
  <c r="O78" i="1" s="1"/>
  <c r="I83" i="1"/>
  <c r="O83" i="1" s="1"/>
  <c r="I84" i="1"/>
  <c r="O84" i="1" s="1"/>
  <c r="I73" i="1"/>
  <c r="O73" i="1" s="1"/>
  <c r="I72" i="1"/>
  <c r="O72" i="1" s="1"/>
  <c r="I91" i="1"/>
  <c r="O91" i="1" s="1"/>
  <c r="I87" i="1"/>
  <c r="O87" i="1" s="1"/>
  <c r="I88" i="1"/>
  <c r="O88" i="1" s="1"/>
  <c r="I23" i="1"/>
  <c r="O23" i="1" s="1"/>
  <c r="I108" i="1"/>
  <c r="O108" i="1" s="1"/>
  <c r="I32" i="1"/>
  <c r="O32" i="1" s="1"/>
  <c r="I111" i="1"/>
  <c r="O111" i="1" s="1"/>
  <c r="I40" i="1"/>
  <c r="O40" i="1" s="1"/>
  <c r="I70" i="1"/>
  <c r="O70" i="1" s="1"/>
  <c r="I114" i="1"/>
  <c r="O114" i="1" s="1"/>
  <c r="I104" i="1"/>
  <c r="O104" i="1" s="1"/>
  <c r="I63" i="1"/>
  <c r="O63" i="1" s="1"/>
  <c r="I98" i="1"/>
  <c r="O98" i="1" s="1"/>
  <c r="I52" i="1"/>
  <c r="O52" i="1" s="1"/>
  <c r="I61" i="1"/>
  <c r="O61" i="1" s="1"/>
  <c r="I39" i="1"/>
  <c r="O39" i="1" s="1"/>
  <c r="I99" i="1"/>
  <c r="O99" i="1" s="1"/>
  <c r="I67" i="1"/>
  <c r="O67" i="1" s="1"/>
  <c r="I33" i="1"/>
  <c r="O33" i="1" s="1"/>
  <c r="I89" i="1"/>
  <c r="O89" i="1" s="1"/>
  <c r="I113" i="1"/>
  <c r="O113" i="1" s="1"/>
  <c r="I50" i="1"/>
  <c r="O50" i="1" s="1"/>
  <c r="I69" i="1"/>
  <c r="O69" i="1" s="1"/>
  <c r="I34" i="1"/>
  <c r="O34" i="1" s="1"/>
  <c r="I45" i="1"/>
  <c r="O45" i="1" s="1"/>
  <c r="I54" i="1"/>
  <c r="O54" i="1" s="1"/>
  <c r="I62" i="1"/>
  <c r="O62" i="1" s="1"/>
  <c r="I81" i="1"/>
  <c r="O81" i="1" s="1"/>
  <c r="I29" i="1"/>
  <c r="O29" i="1" s="1"/>
  <c r="I36" i="1"/>
  <c r="O36" i="1" s="1"/>
  <c r="I20" i="1"/>
  <c r="O20" i="1" s="1"/>
  <c r="I82" i="1"/>
  <c r="O82" i="1" s="1"/>
  <c r="I93" i="1"/>
  <c r="O93" i="1" s="1"/>
  <c r="I56" i="1"/>
  <c r="O56" i="1" s="1"/>
  <c r="I58" i="1"/>
  <c r="O58" i="1" s="1"/>
  <c r="I64" i="1"/>
  <c r="O64" i="1" s="1"/>
  <c r="I31" i="1"/>
  <c r="O31" i="1" s="1"/>
  <c r="I97" i="1"/>
  <c r="O97" i="1" s="1"/>
  <c r="I60" i="1"/>
  <c r="O60" i="1" s="1"/>
  <c r="I86" i="1"/>
  <c r="O86" i="1" s="1"/>
  <c r="I103" i="1"/>
  <c r="O103" i="1" s="1"/>
  <c r="O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Wells</author>
  </authors>
  <commentList>
    <comment ref="A18" authorId="0" shapeId="0" xr:uid="{E1494D55-0067-4019-B2DF-4E8FC36E8B5D}">
      <text>
        <r>
          <rPr>
            <b/>
            <sz val="9"/>
            <color indexed="81"/>
            <rFont val="Tahoma"/>
            <family val="2"/>
          </rPr>
          <t>Back end reference only, not customer facing</t>
        </r>
        <r>
          <rPr>
            <sz val="9"/>
            <color indexed="81"/>
            <rFont val="Tahoma"/>
            <family val="2"/>
          </rPr>
          <t xml:space="preserve">
</t>
        </r>
      </text>
    </comment>
    <comment ref="M18" authorId="0" shapeId="0" xr:uid="{C01553D4-CDE0-4FF9-9961-7C97BC118745}">
      <text>
        <r>
          <rPr>
            <b/>
            <sz val="9"/>
            <color indexed="81"/>
            <rFont val="Tahoma"/>
            <family val="2"/>
          </rPr>
          <t>Refer to label directions and instructions for intended use</t>
        </r>
        <r>
          <rPr>
            <sz val="9"/>
            <color indexed="81"/>
            <rFont val="Tahoma"/>
            <family val="2"/>
          </rPr>
          <t xml:space="preserve">
</t>
        </r>
      </text>
    </comment>
    <comment ref="I21" authorId="0" shapeId="0" xr:uid="{7560CBB9-DEE3-4340-B719-851AD7C9EA8F}">
      <text>
        <r>
          <rPr>
            <b/>
            <sz val="10"/>
            <color indexed="81"/>
            <rFont val="Tahoma"/>
            <family val="2"/>
          </rPr>
          <t>Volume Bonus Rebate only available during EOP 1.  Purchases between Nov 1 – Dec 5, 2025 are eligible for EOP 2 Rewards only.</t>
        </r>
        <r>
          <rPr>
            <sz val="9"/>
            <color indexed="81"/>
            <rFont val="Tahoma"/>
            <family val="2"/>
          </rPr>
          <t xml:space="preserve">
</t>
        </r>
      </text>
    </comment>
    <comment ref="I26" authorId="0" shapeId="0" xr:uid="{09C65EAF-FF50-4065-B2D4-E65723461733}">
      <text>
        <r>
          <rPr>
            <b/>
            <sz val="10"/>
            <color indexed="81"/>
            <rFont val="Tahoma"/>
            <family val="2"/>
          </rPr>
          <t>Volume Bonus Rebate only available during EOP 1.  Purchases between Nov 1 – Dec 5, 2025 are eligible for EOP 2 Rewards only.</t>
        </r>
        <r>
          <rPr>
            <sz val="9"/>
            <color indexed="81"/>
            <rFont val="Tahoma"/>
            <family val="2"/>
          </rPr>
          <t xml:space="preserve">
</t>
        </r>
      </text>
    </comment>
    <comment ref="K29" authorId="0" shapeId="0" xr:uid="{4649E4E2-259C-4FC2-BD76-8AA0281FE0E7}">
      <text>
        <r>
          <rPr>
            <b/>
            <sz val="9"/>
            <color indexed="81"/>
            <rFont val="Tahoma"/>
            <family val="2"/>
          </rPr>
          <t>Ornamental foliar spray 33 - 84 oz / 100 G</t>
        </r>
      </text>
    </comment>
    <comment ref="K30" authorId="0" shapeId="0" xr:uid="{FBEF2441-F389-4F9D-96E0-4B8C4FAB2368}">
      <text>
        <r>
          <rPr>
            <b/>
            <sz val="9"/>
            <color indexed="81"/>
            <rFont val="Tahoma"/>
            <family val="2"/>
          </rPr>
          <t>Ornamental foliar spray 33 - 84 oz / 100 G</t>
        </r>
      </text>
    </comment>
    <comment ref="K31" authorId="0" shapeId="0" xr:uid="{71493F99-0827-4035-96B0-D79FC4DFD029}">
      <text>
        <r>
          <rPr>
            <b/>
            <sz val="9"/>
            <color indexed="81"/>
            <rFont val="Tahoma"/>
            <family val="2"/>
          </rPr>
          <t>Consult label for nursery, greenhouse and landscape directions</t>
        </r>
      </text>
    </comment>
    <comment ref="K32" authorId="0" shapeId="0" xr:uid="{5A5202C1-03FD-4EF4-BDB3-2D7CD2EB77E2}">
      <text>
        <r>
          <rPr>
            <b/>
            <sz val="9"/>
            <color indexed="81"/>
            <rFont val="Tahoma"/>
            <family val="2"/>
          </rPr>
          <t>Consult label for nursery, greenhouse and landscape directions</t>
        </r>
        <r>
          <rPr>
            <sz val="9"/>
            <color indexed="81"/>
            <rFont val="Tahoma"/>
            <family val="2"/>
          </rPr>
          <t xml:space="preserve">
</t>
        </r>
      </text>
    </comment>
    <comment ref="K34" authorId="0" shapeId="0" xr:uid="{FDA4F05A-CC7B-4FEC-87B4-BFBBFC3D2157}">
      <text>
        <r>
          <rPr>
            <b/>
            <sz val="9"/>
            <color indexed="81"/>
            <rFont val="Tahoma"/>
            <family val="2"/>
          </rPr>
          <t>1 - 4 drench rate range
2 - 4 foliar spray rate range</t>
        </r>
      </text>
    </comment>
    <comment ref="K35" authorId="0" shapeId="0" xr:uid="{A91C8CAD-3390-4688-9FD8-853600227887}">
      <text>
        <r>
          <rPr>
            <b/>
            <sz val="9"/>
            <color indexed="81"/>
            <rFont val="Tahoma"/>
            <family val="2"/>
          </rPr>
          <t xml:space="preserve">1 oz rate for turf Fairy Ring
Ornamental foliar spray 0.25 - 0.5 lb / 100 G
</t>
        </r>
      </text>
    </comment>
    <comment ref="I37" authorId="0" shapeId="0" xr:uid="{F9621B9B-A284-478E-98E2-FB3947ACD4C0}">
      <text>
        <r>
          <rPr>
            <b/>
            <sz val="10"/>
            <color indexed="81"/>
            <rFont val="Tahoma"/>
            <family val="2"/>
          </rPr>
          <t>Volume Bonus Rebate only available during EOP 1.  Purchases between Nov 1 – Dec 5, 2025 are eligible for EOP 2 Rewards only.</t>
        </r>
        <r>
          <rPr>
            <sz val="9"/>
            <color indexed="81"/>
            <rFont val="Tahoma"/>
            <family val="2"/>
          </rPr>
          <t xml:space="preserve">
</t>
        </r>
      </text>
    </comment>
    <comment ref="J38" authorId="0" shapeId="0" xr:uid="{72299AAD-95EF-4B7D-A98C-3C01124AF8DD}">
      <text>
        <r>
          <rPr>
            <b/>
            <sz val="9"/>
            <color indexed="81"/>
            <rFont val="Tahoma"/>
            <family val="2"/>
          </rPr>
          <t>1.0 to 2.0 lbs / 100 gal water</t>
        </r>
      </text>
    </comment>
    <comment ref="K38" authorId="0" shapeId="0" xr:uid="{F4610CB0-C62D-46D8-9E3B-0FA866700C98}">
      <text>
        <r>
          <rPr>
            <b/>
            <sz val="9"/>
            <color indexed="81"/>
            <rFont val="Tahoma"/>
            <family val="2"/>
          </rPr>
          <t>1.0 to 2.0 lbs / 100 gal water</t>
        </r>
      </text>
    </comment>
    <comment ref="K39" authorId="0" shapeId="0" xr:uid="{CA61DAAF-0290-4BB8-9CBD-51D930979CC2}">
      <text>
        <r>
          <rPr>
            <b/>
            <sz val="9"/>
            <color indexed="81"/>
            <rFont val="Tahoma"/>
            <family val="2"/>
          </rPr>
          <t xml:space="preserve">Ornamentals and landscapes 4 -10 oz / 100 G </t>
        </r>
        <r>
          <rPr>
            <sz val="9"/>
            <color indexed="81"/>
            <rFont val="Tahoma"/>
            <family val="2"/>
          </rPr>
          <t xml:space="preserve">
</t>
        </r>
      </text>
    </comment>
    <comment ref="K40" authorId="0" shapeId="0" xr:uid="{6B89FF71-03DD-4B02-AE8F-A7A03D801FD0}">
      <text>
        <r>
          <rPr>
            <b/>
            <sz val="9"/>
            <color indexed="81"/>
            <rFont val="Tahoma"/>
            <family val="2"/>
          </rPr>
          <t>Turf Pink &amp; Gray Snow Mold 0.37 - 0.44 oz</t>
        </r>
        <r>
          <rPr>
            <sz val="9"/>
            <color indexed="81"/>
            <rFont val="Tahoma"/>
            <family val="2"/>
          </rPr>
          <t xml:space="preserve">
</t>
        </r>
        <r>
          <rPr>
            <b/>
            <sz val="9"/>
            <color indexed="81"/>
            <rFont val="Tahoma"/>
            <family val="2"/>
          </rPr>
          <t xml:space="preserve">
Ornamental foliar spray 1 - 4 oz / 100 G</t>
        </r>
      </text>
    </comment>
    <comment ref="K41" authorId="0" shapeId="0" xr:uid="{3173BCE6-1F9B-49E7-B52C-F281ACFCCC07}">
      <text>
        <r>
          <rPr>
            <b/>
            <sz val="9"/>
            <color indexed="81"/>
            <rFont val="Tahoma"/>
            <family val="2"/>
          </rPr>
          <t>Turf Pink &amp; Gray Snow Mold 0.37 - 0.44 oz</t>
        </r>
        <r>
          <rPr>
            <sz val="9"/>
            <color indexed="81"/>
            <rFont val="Tahoma"/>
            <family val="2"/>
          </rPr>
          <t xml:space="preserve">
</t>
        </r>
        <r>
          <rPr>
            <b/>
            <sz val="9"/>
            <color indexed="81"/>
            <rFont val="Tahoma"/>
            <family val="2"/>
          </rPr>
          <t xml:space="preserve">
Ornamental foliar spray 1 - 4 oz / 100 G</t>
        </r>
      </text>
    </comment>
    <comment ref="K42" authorId="0" shapeId="0" xr:uid="{53EE889B-A413-45E7-AF38-A520DDC75097}">
      <text>
        <r>
          <rPr>
            <b/>
            <sz val="9"/>
            <color indexed="81"/>
            <rFont val="Tahoma"/>
            <family val="2"/>
          </rPr>
          <t>Turf Pink &amp; Gray Snow Mold 0.37 - 0.44 oz</t>
        </r>
        <r>
          <rPr>
            <sz val="9"/>
            <color indexed="81"/>
            <rFont val="Tahoma"/>
            <family val="2"/>
          </rPr>
          <t xml:space="preserve">
</t>
        </r>
        <r>
          <rPr>
            <b/>
            <sz val="9"/>
            <color indexed="81"/>
            <rFont val="Tahoma"/>
            <family val="2"/>
          </rPr>
          <t xml:space="preserve">
Ornamental foliar spray 1 - 4 oz / 100 G</t>
        </r>
      </text>
    </comment>
    <comment ref="I43" authorId="0" shapeId="0" xr:uid="{88EA8B94-00B4-4EFE-927A-7C8596AFF0DD}">
      <text>
        <r>
          <rPr>
            <b/>
            <sz val="10"/>
            <color indexed="81"/>
            <rFont val="Tahoma"/>
            <family val="2"/>
          </rPr>
          <t>Volume Bonus Rebate only available during EOP 1.  Purchases between Nov 1 – Dec 5, 2025 are eligible for EOP 2 Rewards only.</t>
        </r>
        <r>
          <rPr>
            <sz val="10"/>
            <color indexed="81"/>
            <rFont val="Tahoma"/>
            <family val="2"/>
          </rPr>
          <t xml:space="preserve">
</t>
        </r>
      </text>
    </comment>
    <comment ref="K43" authorId="0" shapeId="0" xr:uid="{37B58388-6FBA-4E99-B510-261F24E143F6}">
      <text>
        <r>
          <rPr>
            <b/>
            <sz val="9"/>
            <color indexed="81"/>
            <rFont val="Tahoma"/>
            <family val="2"/>
          </rPr>
          <t>Turf Pink &amp; Gray Snow Mold 0.37 - 0.44 oz</t>
        </r>
        <r>
          <rPr>
            <sz val="9"/>
            <color indexed="81"/>
            <rFont val="Tahoma"/>
            <family val="2"/>
          </rPr>
          <t xml:space="preserve">
</t>
        </r>
        <r>
          <rPr>
            <b/>
            <sz val="9"/>
            <color indexed="81"/>
            <rFont val="Tahoma"/>
            <family val="2"/>
          </rPr>
          <t xml:space="preserve">
Ornamental foliar spray 1 - 4 oz / 100 G</t>
        </r>
      </text>
    </comment>
    <comment ref="K44" authorId="0" shapeId="0" xr:uid="{D6CFF9F9-C1BF-44AC-A2E7-C8988B6E002A}">
      <text>
        <r>
          <rPr>
            <b/>
            <sz val="9"/>
            <color indexed="81"/>
            <rFont val="Tahoma"/>
            <family val="2"/>
          </rPr>
          <t>Turf Pink &amp; Gray Snow Mold 0.37 - 0.44 oz</t>
        </r>
        <r>
          <rPr>
            <sz val="9"/>
            <color indexed="81"/>
            <rFont val="Tahoma"/>
            <family val="2"/>
          </rPr>
          <t xml:space="preserve">
</t>
        </r>
        <r>
          <rPr>
            <b/>
            <sz val="9"/>
            <color indexed="81"/>
            <rFont val="Tahoma"/>
            <family val="2"/>
          </rPr>
          <t xml:space="preserve">
Ornamental foliar spray 1 - 4 oz / 100 G</t>
        </r>
      </text>
    </comment>
    <comment ref="I46" authorId="0" shapeId="0" xr:uid="{9FFD6002-7EB0-41B5-B53B-0185FEB7B56C}">
      <text>
        <r>
          <rPr>
            <b/>
            <sz val="10"/>
            <color indexed="81"/>
            <rFont val="Tahoma"/>
            <family val="2"/>
          </rPr>
          <t>Volume Bonus Rebate only available during EOP 1.  Purchases between Nov 1 – Dec 5, 2025 are eligible for EOP 2 Rewards only.</t>
        </r>
      </text>
    </comment>
    <comment ref="I51" authorId="0" shapeId="0" xr:uid="{45E57222-3C83-4FA0-960E-967D2FB181EC}">
      <text>
        <r>
          <rPr>
            <b/>
            <sz val="10"/>
            <color indexed="81"/>
            <rFont val="Tahoma"/>
            <family val="2"/>
          </rPr>
          <t>Volume Bonus Rebate only available during EOP 1.  Purchases between Nov 1 – Dec 5, 2025 are eligible for EOP 2 Rewards only.</t>
        </r>
        <r>
          <rPr>
            <sz val="9"/>
            <color indexed="81"/>
            <rFont val="Tahoma"/>
            <family val="2"/>
          </rPr>
          <t xml:space="preserve">
</t>
        </r>
      </text>
    </comment>
    <comment ref="E52" authorId="0" shapeId="0" xr:uid="{974C2A7E-390F-4198-B9B0-81F133251D5C}">
      <text>
        <r>
          <rPr>
            <b/>
            <sz val="9"/>
            <color indexed="81"/>
            <rFont val="Tahoma"/>
            <family val="2"/>
          </rPr>
          <t>Aloft GC SC Insecticide is an EPA Restricted-Use Pesticide.  Always read and follow label directions.</t>
        </r>
        <r>
          <rPr>
            <sz val="9"/>
            <color indexed="81"/>
            <rFont val="Tahoma"/>
            <family val="2"/>
          </rPr>
          <t xml:space="preserve">
</t>
        </r>
      </text>
    </comment>
    <comment ref="M52" authorId="0" shapeId="0" xr:uid="{F50EA90F-985A-4823-9EA5-5ECDF9997433}">
      <text>
        <r>
          <rPr>
            <b/>
            <sz val="9"/>
            <color indexed="81"/>
            <rFont val="Tahoma"/>
            <family val="2"/>
          </rPr>
          <t>0.46 for red imported fire ant control</t>
        </r>
      </text>
    </comment>
    <comment ref="I53" authorId="0" shapeId="0" xr:uid="{A54709EC-7D15-43C1-A4A4-46D75A0CDA09}">
      <text>
        <r>
          <rPr>
            <b/>
            <sz val="10"/>
            <color indexed="81"/>
            <rFont val="Tahoma"/>
            <family val="2"/>
          </rPr>
          <t>Volume Bonus Rebate only available during EOP 1.  Purchases between Nov 1 – Dec 5, 2025 are eligible for EOP 2 Rewards only.</t>
        </r>
      </text>
    </comment>
    <comment ref="M53" authorId="0" shapeId="0" xr:uid="{A2AF103B-8FA9-4AB9-8D7F-75B274E79CBA}">
      <text>
        <r>
          <rPr>
            <b/>
            <sz val="9"/>
            <color indexed="81"/>
            <rFont val="Tahoma"/>
            <family val="2"/>
          </rPr>
          <t>0.46 for red imported fire ant control</t>
        </r>
      </text>
    </comment>
    <comment ref="M54" authorId="0" shapeId="0" xr:uid="{CB60A8F2-D2AC-4D8E-B870-24C1BD94346A}">
      <text>
        <r>
          <rPr>
            <b/>
            <sz val="9"/>
            <color indexed="81"/>
            <rFont val="Tahoma"/>
            <family val="2"/>
          </rPr>
          <t>0.46 for red imported fire ant control</t>
        </r>
      </text>
    </comment>
    <comment ref="I55" authorId="0" shapeId="0" xr:uid="{3FA15E49-C17E-4EC3-947C-C58900105A35}">
      <text>
        <r>
          <rPr>
            <b/>
            <sz val="10"/>
            <color indexed="81"/>
            <rFont val="Tahoma"/>
            <family val="2"/>
          </rPr>
          <t>Volume Bonus Rebate only available during EOP 1.  Purchases between Nov 1 – Dec 5, 2025 are eligible for EOP 2 Rewards only.</t>
        </r>
      </text>
    </comment>
    <comment ref="M55" authorId="0" shapeId="0" xr:uid="{51F5C772-B934-4472-882F-FDED0B947F4D}">
      <text>
        <r>
          <rPr>
            <b/>
            <sz val="9"/>
            <color indexed="81"/>
            <rFont val="Tahoma"/>
            <family val="2"/>
          </rPr>
          <t>0.46 for red imported fire ant control</t>
        </r>
      </text>
    </comment>
    <comment ref="I57" authorId="0" shapeId="0" xr:uid="{F7B41513-783F-4FB5-9313-0B49F56898B0}">
      <text>
        <r>
          <rPr>
            <b/>
            <sz val="10"/>
            <color indexed="81"/>
            <rFont val="Tahoma"/>
            <family val="2"/>
          </rPr>
          <t>Volume Bonus Rebate only available during EOP 1.  Purchases between Nov 1 – Dec 5, 2025 are eligible for EOP 2 Rewards only.</t>
        </r>
        <r>
          <rPr>
            <sz val="10"/>
            <color indexed="81"/>
            <rFont val="Tahoma"/>
            <family val="2"/>
          </rPr>
          <t xml:space="preserve">
</t>
        </r>
      </text>
    </comment>
    <comment ref="I59" authorId="0" shapeId="0" xr:uid="{46ED0B40-1CDC-499E-9E5C-CD17A7C0052B}">
      <text>
        <r>
          <rPr>
            <b/>
            <sz val="10"/>
            <color indexed="81"/>
            <rFont val="Tahoma"/>
            <family val="2"/>
          </rPr>
          <t>Volume Bonus Rebate only available during EOP 1.  Purchases between Nov 1 – Dec 5, 2025 are eligible for EOP 2 Rewards only.</t>
        </r>
        <r>
          <rPr>
            <sz val="10"/>
            <color indexed="81"/>
            <rFont val="Tahoma"/>
            <family val="2"/>
          </rPr>
          <t xml:space="preserve">
</t>
        </r>
      </text>
    </comment>
    <comment ref="J61" authorId="0" shapeId="0" xr:uid="{3652985C-7917-4321-BCD4-BE6F48DBABC0}">
      <text>
        <r>
          <rPr>
            <b/>
            <sz val="9"/>
            <color indexed="81"/>
            <rFont val="Tahoma"/>
            <family val="2"/>
          </rPr>
          <t>2 - 6 drench rate range</t>
        </r>
        <r>
          <rPr>
            <sz val="9"/>
            <color indexed="81"/>
            <rFont val="Tahoma"/>
            <family val="2"/>
          </rPr>
          <t xml:space="preserve">
</t>
        </r>
      </text>
    </comment>
    <comment ref="K64" authorId="0" shapeId="0" xr:uid="{CE0950F7-7CE6-42F1-967A-6EC29EFA91C6}">
      <text>
        <r>
          <rPr>
            <b/>
            <sz val="9"/>
            <color indexed="81"/>
            <rFont val="Tahoma"/>
            <family val="2"/>
          </rPr>
          <t>12 - 24 drench rate range</t>
        </r>
        <r>
          <rPr>
            <sz val="9"/>
            <color indexed="81"/>
            <rFont val="Tahoma"/>
            <family val="2"/>
          </rPr>
          <t xml:space="preserve">
</t>
        </r>
      </text>
    </comment>
    <comment ref="K65" authorId="0" shapeId="0" xr:uid="{049E5368-7EAB-493B-9B11-1EDBA36764B2}">
      <text>
        <r>
          <rPr>
            <b/>
            <sz val="9"/>
            <color indexed="81"/>
            <rFont val="Tahoma"/>
            <family val="2"/>
          </rPr>
          <t>12 - 24 drench rate range</t>
        </r>
        <r>
          <rPr>
            <sz val="9"/>
            <color indexed="81"/>
            <rFont val="Tahoma"/>
            <family val="2"/>
          </rPr>
          <t xml:space="preserve">
</t>
        </r>
      </text>
    </comment>
    <comment ref="K66" authorId="0" shapeId="0" xr:uid="{FF2D411A-8AA8-470F-8D9F-301267F12708}">
      <text>
        <r>
          <rPr>
            <b/>
            <sz val="9"/>
            <color indexed="81"/>
            <rFont val="Tahoma"/>
            <family val="2"/>
          </rPr>
          <t>12 - 24 drench rate range</t>
        </r>
        <r>
          <rPr>
            <sz val="9"/>
            <color indexed="81"/>
            <rFont val="Tahoma"/>
            <family val="2"/>
          </rPr>
          <t xml:space="preserve">
</t>
        </r>
      </text>
    </comment>
    <comment ref="K67" authorId="0" shapeId="0" xr:uid="{31822CD0-678A-4093-BDC4-28B317D63760}">
      <text>
        <r>
          <rPr>
            <b/>
            <sz val="9"/>
            <color indexed="81"/>
            <rFont val="Tahoma"/>
            <family val="2"/>
          </rPr>
          <t>Indoor tomatoes up to 20</t>
        </r>
        <r>
          <rPr>
            <sz val="9"/>
            <color indexed="81"/>
            <rFont val="Tahoma"/>
            <family val="2"/>
          </rPr>
          <t xml:space="preserve">
</t>
        </r>
      </text>
    </comment>
    <comment ref="I68" authorId="0" shapeId="0" xr:uid="{F7154CBB-197B-4114-ABD4-6BC4E651C8BC}">
      <text>
        <r>
          <rPr>
            <b/>
            <sz val="10"/>
            <color indexed="81"/>
            <rFont val="Tahoma"/>
            <family val="2"/>
          </rPr>
          <t>Volume Bonus Rebate only available during EOP 1.  Purchases between Nov 1 – Dec 5, 2025 are eligible for EOP 2 Rewards only.</t>
        </r>
        <r>
          <rPr>
            <sz val="10"/>
            <color indexed="81"/>
            <rFont val="Tahoma"/>
            <family val="2"/>
          </rPr>
          <t xml:space="preserve">
</t>
        </r>
      </text>
    </comment>
    <comment ref="K68" authorId="0" shapeId="0" xr:uid="{879A347B-5956-4FC0-BBDF-B46688F16AC5}">
      <text>
        <r>
          <rPr>
            <b/>
            <sz val="9"/>
            <color indexed="81"/>
            <rFont val="Tahoma"/>
            <family val="2"/>
          </rPr>
          <t>Indoor tomatoes up to 20</t>
        </r>
        <r>
          <rPr>
            <sz val="9"/>
            <color indexed="81"/>
            <rFont val="Tahoma"/>
            <family val="2"/>
          </rPr>
          <t xml:space="preserve">
</t>
        </r>
      </text>
    </comment>
    <comment ref="J72" authorId="0" shapeId="0" xr:uid="{E0511AFC-225F-41E3-8CE7-AAE1C47B333E}">
      <text>
        <r>
          <rPr>
            <b/>
            <sz val="9"/>
            <color indexed="81"/>
            <rFont val="Tahoma"/>
            <family val="2"/>
          </rPr>
          <t>0.67 bentgrass</t>
        </r>
      </text>
    </comment>
    <comment ref="I73" authorId="0" shapeId="0" xr:uid="{8975D675-BD5D-4F89-A0EA-254731208354}">
      <text>
        <r>
          <rPr>
            <b/>
            <sz val="10"/>
            <color indexed="81"/>
            <rFont val="Tahoma"/>
            <family val="2"/>
          </rPr>
          <t>Volume Bonus Rebate only available during EOP 1.  Purchases between Nov 1 – Dec 5, 2025 are eligible for EOP 2 Rewards only.</t>
        </r>
        <r>
          <rPr>
            <sz val="10"/>
            <color indexed="81"/>
            <rFont val="Tahoma"/>
            <family val="2"/>
          </rPr>
          <t xml:space="preserve">
</t>
        </r>
      </text>
    </comment>
    <comment ref="J74" authorId="0" shapeId="0" xr:uid="{4C34B9A7-24D1-43FB-A3A4-46CB8811C078}">
      <text>
        <r>
          <rPr>
            <b/>
            <sz val="10"/>
            <color indexed="81"/>
            <rFont val="Tahoma"/>
            <family val="2"/>
          </rPr>
          <t>Bermudagrass &amp; zoysia 1.8 - 2.6
Bentgrass 1.1 - 1.8</t>
        </r>
        <r>
          <rPr>
            <sz val="9"/>
            <color indexed="81"/>
            <rFont val="Tahoma"/>
            <charset val="1"/>
          </rPr>
          <t xml:space="preserve">
</t>
        </r>
      </text>
    </comment>
    <comment ref="J75" authorId="0" shapeId="0" xr:uid="{25319183-63F1-43B0-8245-22D3A6EA5487}">
      <text>
        <r>
          <rPr>
            <b/>
            <sz val="10"/>
            <color indexed="81"/>
            <rFont val="Tahoma"/>
            <family val="2"/>
          </rPr>
          <t>Bermudagrass &amp; zoysia 1.8 - 2.6
Bentgrass 1.1 - 1.8</t>
        </r>
        <r>
          <rPr>
            <sz val="9"/>
            <color indexed="81"/>
            <rFont val="Tahoma"/>
            <charset val="1"/>
          </rPr>
          <t xml:space="preserve">
</t>
        </r>
      </text>
    </comment>
    <comment ref="J76" authorId="0" shapeId="0" xr:uid="{2C34D151-8E62-4BFE-B6A6-F3464CC7C27F}">
      <text>
        <r>
          <rPr>
            <b/>
            <sz val="10"/>
            <color indexed="81"/>
            <rFont val="Tahoma"/>
            <family val="2"/>
          </rPr>
          <t>Bermudagrass &amp; zoysia 1.8 - 2.6
Bentgrass 1.1 - 1.8</t>
        </r>
        <r>
          <rPr>
            <sz val="9"/>
            <color indexed="81"/>
            <rFont val="Tahoma"/>
            <charset val="1"/>
          </rPr>
          <t xml:space="preserve">
</t>
        </r>
      </text>
    </comment>
    <comment ref="J77" authorId="0" shapeId="0" xr:uid="{05FD9EB2-7065-49C6-AFCB-19D3F6268D4A}">
      <text>
        <r>
          <rPr>
            <b/>
            <sz val="10"/>
            <color indexed="81"/>
            <rFont val="Tahoma"/>
            <family val="2"/>
          </rPr>
          <t>Bermudagrass &amp; zoysia 1.8 - 2.6
Bentgrass 1.1 - 1.8</t>
        </r>
        <r>
          <rPr>
            <sz val="9"/>
            <color indexed="81"/>
            <rFont val="Tahoma"/>
            <charset val="1"/>
          </rPr>
          <t xml:space="preserve">
</t>
        </r>
      </text>
    </comment>
    <comment ref="J78" authorId="0" shapeId="0" xr:uid="{9230B5C0-9BBB-4FB3-BA0C-8ADEDA656905}">
      <text>
        <r>
          <rPr>
            <b/>
            <sz val="9"/>
            <color indexed="81"/>
            <rFont val="Tahoma"/>
            <family val="2"/>
          </rPr>
          <t>150 lb/A</t>
        </r>
      </text>
    </comment>
    <comment ref="I80" authorId="0" shapeId="0" xr:uid="{02A76CEB-0BAB-46F0-83E4-F26AB4609A8D}">
      <text>
        <r>
          <rPr>
            <b/>
            <sz val="9"/>
            <color indexed="81"/>
            <rFont val="Tahoma"/>
            <family val="2"/>
          </rPr>
          <t xml:space="preserve">Volume Bonus Rebate only available during EOP 1.  Purchases between Nov 1 – Dec 5, 2025 are eligible for EOP 2 Rewards only.
</t>
        </r>
      </text>
    </comment>
    <comment ref="I83" authorId="0" shapeId="0" xr:uid="{969505A7-6474-48BC-927E-6740213DAB26}">
      <text>
        <r>
          <rPr>
            <b/>
            <sz val="9"/>
            <color indexed="81"/>
            <rFont val="Tahoma"/>
            <family val="2"/>
          </rPr>
          <t xml:space="preserve">Volume Bonus Rebate only available during EOP 1.  Purchases between Nov 1 – Dec 5, 2025 are eligible for EOP 2 Rewards only.
</t>
        </r>
        <r>
          <rPr>
            <sz val="9"/>
            <color indexed="81"/>
            <rFont val="Tahoma"/>
            <family val="2"/>
          </rPr>
          <t xml:space="preserve">
</t>
        </r>
      </text>
    </comment>
    <comment ref="I87" authorId="0" shapeId="0" xr:uid="{FDE532BE-74AE-4570-82B4-7FEBF196E10D}">
      <text>
        <r>
          <rPr>
            <b/>
            <sz val="10"/>
            <color indexed="81"/>
            <rFont val="Tahoma"/>
            <family val="2"/>
          </rPr>
          <t>Volume Bonus Rebate only available during EOP 1.  Purchases between Nov 1 – Dec 5, 2025 are eligible for EOP 2 Rewards only.</t>
        </r>
        <r>
          <rPr>
            <sz val="10"/>
            <color indexed="81"/>
            <rFont val="Tahoma"/>
            <family val="2"/>
          </rPr>
          <t xml:space="preserve">
</t>
        </r>
      </text>
    </comment>
    <comment ref="J89" authorId="0" shapeId="0" xr:uid="{D82DB831-B695-4951-B24E-C4EB420D7BFB}">
      <text>
        <r>
          <rPr>
            <b/>
            <sz val="9"/>
            <color indexed="81"/>
            <rFont val="Tahoma"/>
            <family val="2"/>
          </rPr>
          <t>0.36 bentgrass fairways</t>
        </r>
        <r>
          <rPr>
            <sz val="9"/>
            <color indexed="81"/>
            <rFont val="Tahoma"/>
            <family val="2"/>
          </rPr>
          <t xml:space="preserve">
</t>
        </r>
      </text>
    </comment>
    <comment ref="I90" authorId="0" shapeId="0" xr:uid="{BAD6C567-2614-43E3-B253-39D9B8A636D2}">
      <text>
        <r>
          <rPr>
            <b/>
            <sz val="10"/>
            <color indexed="81"/>
            <rFont val="Tahoma"/>
            <family val="2"/>
          </rPr>
          <t>Volume Bonus Rebate only available during EOP 1.  Purchases between Nov 1 – Dec 5, 2025 are eligible for EOP 2 Rewards only.</t>
        </r>
        <r>
          <rPr>
            <sz val="10"/>
            <color indexed="81"/>
            <rFont val="Tahoma"/>
            <family val="2"/>
          </rPr>
          <t xml:space="preserve">
</t>
        </r>
      </text>
    </comment>
    <comment ref="J90" authorId="0" shapeId="0" xr:uid="{2D1DAE8E-14D0-486E-A1DF-89D0B668DFD0}">
      <text>
        <r>
          <rPr>
            <b/>
            <sz val="9"/>
            <color indexed="81"/>
            <rFont val="Tahoma"/>
            <family val="2"/>
          </rPr>
          <t>0.36 bentgrass fairways</t>
        </r>
        <r>
          <rPr>
            <sz val="9"/>
            <color indexed="81"/>
            <rFont val="Tahoma"/>
            <family val="2"/>
          </rPr>
          <t xml:space="preserve">
</t>
        </r>
      </text>
    </comment>
    <comment ref="J92" authorId="0" shapeId="0" xr:uid="{0497A763-D46E-4A63-A2B6-C388923AC393}">
      <text>
        <r>
          <rPr>
            <b/>
            <sz val="9"/>
            <color indexed="81"/>
            <rFont val="Tahoma"/>
            <family val="2"/>
          </rPr>
          <t>0.36 bentgrass fairways</t>
        </r>
        <r>
          <rPr>
            <sz val="9"/>
            <color indexed="81"/>
            <rFont val="Tahoma"/>
            <family val="2"/>
          </rPr>
          <t xml:space="preserve">
</t>
        </r>
      </text>
    </comment>
    <comment ref="I94" authorId="0" shapeId="0" xr:uid="{1266B7A7-381D-414F-B0D0-7E7DBD0CE9B2}">
      <text>
        <r>
          <rPr>
            <b/>
            <sz val="10"/>
            <color indexed="81"/>
            <rFont val="Tahoma"/>
            <family val="2"/>
          </rPr>
          <t>Volume Bonus Rebate only available during EOP 1.  Purchases between Nov 1 – Dec 5, 2025 are eligible for EOP 2 Rewards only.</t>
        </r>
        <r>
          <rPr>
            <sz val="10"/>
            <color indexed="81"/>
            <rFont val="Tahoma"/>
            <family val="2"/>
          </rPr>
          <t xml:space="preserve">
</t>
        </r>
      </text>
    </comment>
    <comment ref="J96" authorId="0" shapeId="0" xr:uid="{45852B4A-15D8-4B3A-8D97-183F337956B8}">
      <text>
        <r>
          <rPr>
            <b/>
            <sz val="9"/>
            <color indexed="81"/>
            <rFont val="Tahoma"/>
            <family val="2"/>
          </rPr>
          <t>0.36 bentgrass fairways</t>
        </r>
        <r>
          <rPr>
            <sz val="9"/>
            <color indexed="81"/>
            <rFont val="Tahoma"/>
            <family val="2"/>
          </rPr>
          <t xml:space="preserve">
</t>
        </r>
      </text>
    </comment>
    <comment ref="J99" authorId="0" shapeId="0" xr:uid="{44512535-F1B6-4E38-BDD8-F7B1844DB45C}">
      <text>
        <r>
          <rPr>
            <b/>
            <sz val="9"/>
            <color indexed="81"/>
            <rFont val="Tahoma"/>
            <family val="2"/>
          </rPr>
          <t>0.55 bentgrass fairways</t>
        </r>
        <r>
          <rPr>
            <sz val="9"/>
            <color indexed="81"/>
            <rFont val="Tahoma"/>
            <family val="2"/>
          </rPr>
          <t xml:space="preserve">
</t>
        </r>
      </text>
    </comment>
    <comment ref="I100" authorId="0" shapeId="0" xr:uid="{62502E1A-5D60-4063-BE52-615B4F7DFE7A}">
      <text>
        <r>
          <rPr>
            <b/>
            <sz val="10"/>
            <color indexed="81"/>
            <rFont val="Tahoma"/>
            <family val="2"/>
          </rPr>
          <t>Volume Bonus Rebate only available during EOP 1.  Purchases between Nov 1 – Dec 5, 2025 are eligible for EOP 2 Rewards only.</t>
        </r>
      </text>
    </comment>
    <comment ref="J100" authorId="0" shapeId="0" xr:uid="{896F0C2C-5BBA-4270-A4E4-0279DB3E67F1}">
      <text>
        <r>
          <rPr>
            <b/>
            <sz val="9"/>
            <color indexed="81"/>
            <rFont val="Tahoma"/>
            <family val="2"/>
          </rPr>
          <t>0.55 bentgrass fairways</t>
        </r>
        <r>
          <rPr>
            <sz val="9"/>
            <color indexed="81"/>
            <rFont val="Tahoma"/>
            <family val="2"/>
          </rPr>
          <t xml:space="preserve">
</t>
        </r>
      </text>
    </comment>
    <comment ref="J101" authorId="0" shapeId="0" xr:uid="{9E3F78D2-D819-46B0-981B-264CDD0D4929}">
      <text>
        <r>
          <rPr>
            <b/>
            <sz val="9"/>
            <color indexed="81"/>
            <rFont val="Tahoma"/>
            <family val="2"/>
          </rPr>
          <t>0.55 bentgrass fairways</t>
        </r>
        <r>
          <rPr>
            <sz val="9"/>
            <color indexed="81"/>
            <rFont val="Tahoma"/>
            <family val="2"/>
          </rPr>
          <t xml:space="preserve">
</t>
        </r>
      </text>
    </comment>
    <comment ref="J102" authorId="0" shapeId="0" xr:uid="{3533D9BD-F019-4519-8FC2-D8BAB17CCE8D}">
      <text>
        <r>
          <rPr>
            <b/>
            <sz val="9"/>
            <color indexed="81"/>
            <rFont val="Tahoma"/>
            <family val="2"/>
          </rPr>
          <t>0.55 bentgrass fairways</t>
        </r>
        <r>
          <rPr>
            <sz val="9"/>
            <color indexed="81"/>
            <rFont val="Tahoma"/>
            <family val="2"/>
          </rPr>
          <t xml:space="preserve">
</t>
        </r>
      </text>
    </comment>
    <comment ref="I107" authorId="0" shapeId="0" xr:uid="{AAC2DF24-8494-436D-A9D4-C39CB5E0F059}">
      <text>
        <r>
          <rPr>
            <b/>
            <sz val="9"/>
            <color indexed="81"/>
            <rFont val="Tahoma"/>
            <family val="2"/>
          </rPr>
          <t>Volume Bonus Rebate only available during EOP 1.  Purchases between Nov 1 – Dec 5, 2025 are eligible for EOP 2 Rewards only.</t>
        </r>
        <r>
          <rPr>
            <sz val="9"/>
            <color indexed="81"/>
            <rFont val="Tahoma"/>
            <family val="2"/>
          </rPr>
          <t xml:space="preserve">
</t>
        </r>
      </text>
    </comment>
    <comment ref="I110" authorId="0" shapeId="0" xr:uid="{93A8F6C1-D979-4F83-A8CE-2B4B4B679C1B}">
      <text>
        <r>
          <rPr>
            <b/>
            <sz val="9"/>
            <color indexed="81"/>
            <rFont val="Tahoma"/>
            <family val="2"/>
          </rPr>
          <t>Volume Bonus Rebate only available during EOP 1.  Purchases between Nov 1 – Dec 5, 2025 are eligible for EOP 2 Rewards only.</t>
        </r>
        <r>
          <rPr>
            <sz val="9"/>
            <color indexed="81"/>
            <rFont val="Tahoma"/>
            <family val="2"/>
          </rPr>
          <t xml:space="preserve">
</t>
        </r>
      </text>
    </comment>
    <comment ref="I112" authorId="0" shapeId="0" xr:uid="{6E324F0A-D3E7-450C-B84A-9790E8AC3007}">
      <text>
        <r>
          <rPr>
            <b/>
            <sz val="10"/>
            <color indexed="81"/>
            <rFont val="Tahoma"/>
            <family val="2"/>
          </rPr>
          <t>Volume Bonus Rebate only available during EOP 1.  Purchases between Nov 1 – Dec 5, 20254 are eligible for EOP 2 Rewards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Wells</author>
  </authors>
  <commentList>
    <comment ref="H3" authorId="0" shapeId="0" xr:uid="{2BA4F46D-9AA5-45A3-87BF-0CB681E52B23}">
      <text>
        <r>
          <rPr>
            <b/>
            <sz val="9"/>
            <color indexed="81"/>
            <rFont val="Tahoma"/>
            <family val="2"/>
          </rPr>
          <t xml:space="preserve">Volume bonus eligible products available period 1 (9/12/2022 - 10/31/2022).  After period 1, eligible purchases receive only the period 2 rebate. </t>
        </r>
        <r>
          <rPr>
            <sz val="9"/>
            <color indexed="81"/>
            <rFont val="Tahoma"/>
            <family val="2"/>
          </rPr>
          <t xml:space="preserve">
</t>
        </r>
      </text>
    </comment>
    <comment ref="H6" authorId="0" shapeId="0" xr:uid="{60AC0A79-3679-4F5D-88E0-1C68F2A7DBBB}">
      <text>
        <r>
          <rPr>
            <b/>
            <sz val="9"/>
            <color indexed="81"/>
            <rFont val="Tahoma"/>
            <family val="2"/>
          </rPr>
          <t>Minimum order qualifier 12 or more units</t>
        </r>
        <r>
          <rPr>
            <sz val="9"/>
            <color indexed="81"/>
            <rFont val="Tahoma"/>
            <family val="2"/>
          </rPr>
          <t xml:space="preserve">
</t>
        </r>
      </text>
    </comment>
    <comment ref="H13" authorId="0" shapeId="0" xr:uid="{5117A615-A2D4-443C-BF6D-1F19BA82F45A}">
      <text>
        <r>
          <rPr>
            <b/>
            <sz val="9"/>
            <color indexed="81"/>
            <rFont val="Tahoma"/>
            <family val="2"/>
          </rPr>
          <t>Minimum order qualifier 4 or more units</t>
        </r>
        <r>
          <rPr>
            <sz val="9"/>
            <color indexed="81"/>
            <rFont val="Tahoma"/>
            <family val="2"/>
          </rPr>
          <t xml:space="preserve">
</t>
        </r>
      </text>
    </comment>
    <comment ref="H20" authorId="0" shapeId="0" xr:uid="{0C911DCA-92D2-46C3-8FC9-4DB2265D3C93}">
      <text>
        <r>
          <rPr>
            <b/>
            <sz val="9"/>
            <color indexed="81"/>
            <rFont val="Tahoma"/>
            <family val="2"/>
          </rPr>
          <t>Minimum order qualifier 12 or more units</t>
        </r>
        <r>
          <rPr>
            <sz val="9"/>
            <color indexed="81"/>
            <rFont val="Tahoma"/>
            <family val="2"/>
          </rPr>
          <t xml:space="preserve">
</t>
        </r>
      </text>
    </comment>
    <comment ref="H23" authorId="0" shapeId="0" xr:uid="{2A4D78C0-20F7-4C3B-BC8F-9C4BBB55D667}">
      <text>
        <r>
          <rPr>
            <b/>
            <sz val="9"/>
            <color indexed="81"/>
            <rFont val="Tahoma"/>
            <family val="2"/>
          </rPr>
          <t>Minimum order qualifier 12 or more units</t>
        </r>
        <r>
          <rPr>
            <sz val="9"/>
            <color indexed="81"/>
            <rFont val="Tahoma"/>
            <family val="2"/>
          </rPr>
          <t xml:space="preserve">
</t>
        </r>
      </text>
    </comment>
    <comment ref="H27" authorId="0" shapeId="0" xr:uid="{878DD076-AD5E-42E4-9CC2-C9C2DC4FB72A}">
      <text>
        <r>
          <rPr>
            <b/>
            <sz val="9"/>
            <color indexed="81"/>
            <rFont val="Tahoma"/>
            <family val="2"/>
          </rPr>
          <t>Minimum order qualifier 12 or more units</t>
        </r>
        <r>
          <rPr>
            <sz val="9"/>
            <color indexed="81"/>
            <rFont val="Tahoma"/>
            <family val="2"/>
          </rPr>
          <t xml:space="preserve">
</t>
        </r>
      </text>
    </comment>
    <comment ref="H33" authorId="0" shapeId="0" xr:uid="{597F8D49-910F-41EE-BE6C-D41268E13922}">
      <text>
        <r>
          <rPr>
            <b/>
            <sz val="9"/>
            <color indexed="81"/>
            <rFont val="Tahoma"/>
            <family val="2"/>
          </rPr>
          <t>Minimum order qualifier 6 or more units</t>
        </r>
        <r>
          <rPr>
            <sz val="9"/>
            <color indexed="81"/>
            <rFont val="Tahoma"/>
            <family val="2"/>
          </rPr>
          <t xml:space="preserve">
</t>
        </r>
      </text>
    </comment>
    <comment ref="H43" authorId="0" shapeId="0" xr:uid="{2E294D79-0605-484C-A18D-3DD3C461ECB7}">
      <text>
        <r>
          <rPr>
            <b/>
            <sz val="9"/>
            <color indexed="81"/>
            <rFont val="Tahoma"/>
            <family val="2"/>
          </rPr>
          <t>Minimum order qualifier 4 or more units</t>
        </r>
        <r>
          <rPr>
            <sz val="9"/>
            <color indexed="81"/>
            <rFont val="Tahoma"/>
            <family val="2"/>
          </rPr>
          <t xml:space="preserve">
</t>
        </r>
      </text>
    </comment>
    <comment ref="H52" authorId="0" shapeId="0" xr:uid="{E050B1D7-5687-4199-9B32-7E410F3020A2}">
      <text>
        <r>
          <rPr>
            <b/>
            <sz val="9"/>
            <color indexed="81"/>
            <rFont val="Tahoma"/>
            <family val="2"/>
          </rPr>
          <t>Minimum order qualifier 8 or more units</t>
        </r>
        <r>
          <rPr>
            <sz val="9"/>
            <color indexed="81"/>
            <rFont val="Tahoma"/>
            <family val="2"/>
          </rPr>
          <t xml:space="preserve">
</t>
        </r>
      </text>
    </comment>
    <comment ref="H54" authorId="0" shapeId="0" xr:uid="{C8D617EA-21DB-4CE4-8D96-443A19D3618F}">
      <text>
        <r>
          <rPr>
            <b/>
            <sz val="9"/>
            <color indexed="81"/>
            <rFont val="Tahoma"/>
            <family val="2"/>
          </rPr>
          <t>Minimum order qualifier 50 or more units</t>
        </r>
        <r>
          <rPr>
            <sz val="9"/>
            <color indexed="81"/>
            <rFont val="Tahoma"/>
            <family val="2"/>
          </rPr>
          <t xml:space="preserve">
</t>
        </r>
      </text>
    </comment>
    <comment ref="H56" authorId="0" shapeId="0" xr:uid="{1E63B504-94F3-4478-9240-CFE019442238}">
      <text>
        <r>
          <rPr>
            <b/>
            <sz val="9"/>
            <color indexed="81"/>
            <rFont val="Tahoma"/>
            <family val="2"/>
          </rPr>
          <t>Minimum order qualifier 8 or more units</t>
        </r>
        <r>
          <rPr>
            <sz val="9"/>
            <color indexed="81"/>
            <rFont val="Tahoma"/>
            <family val="2"/>
          </rPr>
          <t xml:space="preserve">
</t>
        </r>
      </text>
    </comment>
    <comment ref="H58" authorId="0" shapeId="0" xr:uid="{53D35041-FB55-4EDC-810A-1181717672D7}">
      <text>
        <r>
          <rPr>
            <b/>
            <sz val="9"/>
            <color indexed="81"/>
            <rFont val="Tahoma"/>
            <family val="2"/>
          </rPr>
          <t>Minimum order qualifier 50 or more units</t>
        </r>
        <r>
          <rPr>
            <sz val="9"/>
            <color indexed="81"/>
            <rFont val="Tahoma"/>
            <family val="2"/>
          </rPr>
          <t xml:space="preserve">
</t>
        </r>
      </text>
    </comment>
    <comment ref="H60" authorId="0" shapeId="0" xr:uid="{6E4870A0-041E-4213-85FA-49DAC82501B2}">
      <text>
        <r>
          <rPr>
            <b/>
            <sz val="9"/>
            <color indexed="81"/>
            <rFont val="Tahoma"/>
            <family val="2"/>
          </rPr>
          <t>Minimum order qualifier 8 or more units</t>
        </r>
        <r>
          <rPr>
            <sz val="9"/>
            <color indexed="81"/>
            <rFont val="Tahoma"/>
            <family val="2"/>
          </rPr>
          <t xml:space="preserve">
</t>
        </r>
      </text>
    </comment>
    <comment ref="H64" authorId="0" shapeId="0" xr:uid="{8AE36998-2A7B-4C02-8645-15AC17C01EFE}">
      <text>
        <r>
          <rPr>
            <b/>
            <sz val="9"/>
            <color indexed="81"/>
            <rFont val="Tahoma"/>
            <family val="2"/>
          </rPr>
          <t>Minimum order qualifier 8 or more units</t>
        </r>
        <r>
          <rPr>
            <sz val="9"/>
            <color indexed="81"/>
            <rFont val="Tahoma"/>
            <family val="2"/>
          </rPr>
          <t xml:space="preserve">
</t>
        </r>
      </text>
    </comment>
    <comment ref="H75" authorId="0" shapeId="0" xr:uid="{F09903D2-C0FC-4C8F-9B3F-D668285A7200}">
      <text>
        <r>
          <rPr>
            <b/>
            <sz val="9"/>
            <color indexed="81"/>
            <rFont val="Tahoma"/>
            <family val="2"/>
          </rPr>
          <t>Minimum order qualifier 4 or more units</t>
        </r>
        <r>
          <rPr>
            <sz val="9"/>
            <color indexed="81"/>
            <rFont val="Tahoma"/>
            <family val="2"/>
          </rPr>
          <t xml:space="preserve">
</t>
        </r>
      </text>
    </comment>
    <comment ref="H97" authorId="0" shapeId="0" xr:uid="{A3D568C3-638A-495E-A406-1BEB42BA7407}">
      <text>
        <r>
          <rPr>
            <b/>
            <sz val="9"/>
            <color indexed="81"/>
            <rFont val="Tahoma"/>
            <family val="2"/>
          </rPr>
          <t>Minimum order qualifier 8 or more units</t>
        </r>
        <r>
          <rPr>
            <sz val="9"/>
            <color indexed="81"/>
            <rFont val="Tahoma"/>
            <family val="2"/>
          </rPr>
          <t xml:space="preserve">
</t>
        </r>
      </text>
    </comment>
    <comment ref="H100" authorId="0" shapeId="0" xr:uid="{6DE3E812-2099-43A8-8F7A-346505C3D244}">
      <text>
        <r>
          <rPr>
            <b/>
            <sz val="9"/>
            <color indexed="81"/>
            <rFont val="Tahoma"/>
            <family val="2"/>
          </rPr>
          <t>Minimum order qualifier 8 or more units</t>
        </r>
        <r>
          <rPr>
            <sz val="9"/>
            <color indexed="81"/>
            <rFont val="Tahoma"/>
            <family val="2"/>
          </rPr>
          <t xml:space="preserve">
</t>
        </r>
      </text>
    </comment>
    <comment ref="H107" authorId="0" shapeId="0" xr:uid="{8E5A923A-6BA5-4897-BDEE-A484977AE4BD}">
      <text>
        <r>
          <rPr>
            <b/>
            <sz val="9"/>
            <color indexed="81"/>
            <rFont val="Tahoma"/>
            <family val="2"/>
          </rPr>
          <t>Minimum order qualifier 4 or more units</t>
        </r>
        <r>
          <rPr>
            <sz val="9"/>
            <color indexed="81"/>
            <rFont val="Tahoma"/>
            <family val="2"/>
          </rPr>
          <t xml:space="preserve">
</t>
        </r>
      </text>
    </comment>
    <comment ref="H111" authorId="0" shapeId="0" xr:uid="{CFB00FF8-F749-41E0-AA9D-3C7E890C3055}">
      <text>
        <r>
          <rPr>
            <b/>
            <sz val="9"/>
            <color indexed="81"/>
            <rFont val="Tahoma"/>
            <family val="2"/>
          </rPr>
          <t xml:space="preserve">Minimum order qualifier 6 or more units
</t>
        </r>
        <r>
          <rPr>
            <sz val="9"/>
            <color indexed="81"/>
            <rFont val="Tahoma"/>
            <family val="2"/>
          </rPr>
          <t xml:space="preserve">
</t>
        </r>
      </text>
    </comment>
    <comment ref="H116" authorId="0" shapeId="0" xr:uid="{6926036B-762C-4905-9F55-C02D78905889}">
      <text>
        <r>
          <rPr>
            <b/>
            <sz val="9"/>
            <color indexed="81"/>
            <rFont val="Tahoma"/>
            <family val="2"/>
          </rPr>
          <t>Minimum order qualifier 32 or more units</t>
        </r>
        <r>
          <rPr>
            <sz val="9"/>
            <color indexed="81"/>
            <rFont val="Tahoma"/>
            <family val="2"/>
          </rPr>
          <t xml:space="preserve">
</t>
        </r>
      </text>
    </comment>
    <comment ref="H121" authorId="0" shapeId="0" xr:uid="{888AEC7C-6970-4069-B0A4-A4D2270318D0}">
      <text>
        <r>
          <rPr>
            <b/>
            <sz val="9"/>
            <color indexed="81"/>
            <rFont val="Tahoma"/>
            <family val="2"/>
          </rPr>
          <t>Minimum order qualifier 6 or more units</t>
        </r>
        <r>
          <rPr>
            <sz val="9"/>
            <color indexed="81"/>
            <rFont val="Tahoma"/>
            <family val="2"/>
          </rPr>
          <t xml:space="preserve">
</t>
        </r>
      </text>
    </comment>
  </commentList>
</comments>
</file>

<file path=xl/sharedStrings.xml><?xml version="1.0" encoding="utf-8"?>
<sst xmlns="http://schemas.openxmlformats.org/spreadsheetml/2006/main" count="772" uniqueCount="325">
  <si>
    <t>Herbicides</t>
  </si>
  <si>
    <t>Product Description</t>
  </si>
  <si>
    <t>Total Rebate</t>
  </si>
  <si>
    <t>4-SPEED XT 2x2.5 Gallon Case</t>
  </si>
  <si>
    <t>BROADSTAR 50 Lb Bag</t>
  </si>
  <si>
    <t>CELERO 4x1 Lb Case</t>
  </si>
  <si>
    <t>CERTAINTY 10x1.25 Wt oz Case</t>
  </si>
  <si>
    <t>CHANGE UP 2x2.5 Gallon Case</t>
  </si>
  <si>
    <t>CHANGE UP 30 Gallon Drum</t>
  </si>
  <si>
    <t>COOL POWER 2x2.5 Gallon Case</t>
  </si>
  <si>
    <t>COOL POWER 30 Gallon Drum</t>
  </si>
  <si>
    <t>ESCALADE 2 2x2.5 Gallon Case</t>
  </si>
  <si>
    <t>ESCALADE 2 30 Gallon Drum</t>
  </si>
  <si>
    <t>ESCALADE 2 250 Gallon Tote</t>
  </si>
  <si>
    <t>HORSEPOWER 2x2.5 Gallon Case</t>
  </si>
  <si>
    <t>HORSEPOWER 30 Gallon Drum</t>
  </si>
  <si>
    <t>MANOR 16x2 Wt oz Case</t>
  </si>
  <si>
    <t>MANOR 8x8 Wt oz Case</t>
  </si>
  <si>
    <t>MILLENNIUM ULTRA 2 2x2.5 Gallon Case</t>
  </si>
  <si>
    <t>MILLENNIUM ULTRA 2 30 Gallon Drum</t>
  </si>
  <si>
    <t>SUREGUARD SC 8x1 Pt Case</t>
  </si>
  <si>
    <t>SURE POWER 2x2.5 Gallon Case</t>
  </si>
  <si>
    <t>SURE POWER 30 Gallon Drum</t>
  </si>
  <si>
    <t>TRIPLET LOW ODOR 2x2.5 Gallon Case</t>
  </si>
  <si>
    <t>TRIPLET LOW ODOR 30 Gallon Drum</t>
  </si>
  <si>
    <t>Insecticides</t>
  </si>
  <si>
    <t>ALOFT LC G 30 Lb Bag</t>
  </si>
  <si>
    <t>ARENA 0.25 G 30 Lb Bag</t>
  </si>
  <si>
    <t>ARENA 50 WDG 4x40 Wt oz Case</t>
  </si>
  <si>
    <t>DIPEL PRO DF 30x1 Lb Case</t>
  </si>
  <si>
    <t>DISTANCE IGR 4x1 Qt Case</t>
  </si>
  <si>
    <t>GNATROL WDG 16 Lb Pail</t>
  </si>
  <si>
    <t>MINX 2 4x1 Qt Case</t>
  </si>
  <si>
    <t>MINX 2 4x1 Gallon Case</t>
  </si>
  <si>
    <t>OVERTURE 35 WP 8x8x2 Wt oz Case</t>
  </si>
  <si>
    <t>SAFARI 20 SG 16x12 Wt oz Case</t>
  </si>
  <si>
    <t>SAFARI 20 SG 4x3 Lb Case</t>
  </si>
  <si>
    <t>TAME 2.4 EC SPRAY 12x1 Qt Case</t>
  </si>
  <si>
    <t>TETRASAN 5 WDG 8x8x2 Wt oz Case</t>
  </si>
  <si>
    <t>TRISTAR 8.5 SL 4x1 Qt Case</t>
  </si>
  <si>
    <t>TRISTAR 8.5 SL 4x1 Gallon Case</t>
  </si>
  <si>
    <t>Fungicides</t>
  </si>
  <si>
    <t>26/36 2x2.5 Gallon Case</t>
  </si>
  <si>
    <t>3336 EG 4x5 Lb Case</t>
  </si>
  <si>
    <t>3336 F 12x1 Qt Case</t>
  </si>
  <si>
    <t>3336 DG LITE 30 Lb Bag</t>
  </si>
  <si>
    <t>ADORN 12x1 Qt Case</t>
  </si>
  <si>
    <t>AFFIRM WDG 3x2.4 Lb Case</t>
  </si>
  <si>
    <t>SPECTRO 90 WDG 4x5 Lb Case</t>
  </si>
  <si>
    <t>SPIRATO GHN 8x1 Pt Case</t>
  </si>
  <si>
    <t>TORQUE 5x1 Gallon Case</t>
  </si>
  <si>
    <t>TOURNEY 4x5 Lb Case</t>
  </si>
  <si>
    <t>Plant Growth Regulators</t>
  </si>
  <si>
    <t>FASCINATION 4x0.5 Gallon Case</t>
  </si>
  <si>
    <t>SUMAGIC 4x1 Gallon Case</t>
  </si>
  <si>
    <t>SUMAGIC 15 Gallon Drum</t>
  </si>
  <si>
    <t>ENGULF GHN 8x1 Pt Case</t>
  </si>
  <si>
    <t>Item Number</t>
  </si>
  <si>
    <t>Unit Size</t>
  </si>
  <si>
    <t>COOL POWER</t>
  </si>
  <si>
    <t>ESCALADE 2</t>
  </si>
  <si>
    <t>HORSEPOWER</t>
  </si>
  <si>
    <t>MANOR</t>
  </si>
  <si>
    <t>MILLENNIUM ULTRA 2</t>
  </si>
  <si>
    <t>TRIPLET LOW ODOR</t>
  </si>
  <si>
    <t>TORQUE</t>
  </si>
  <si>
    <t>3336 DG LITE</t>
  </si>
  <si>
    <t>3336 F</t>
  </si>
  <si>
    <t>AFFIRM WDG</t>
  </si>
  <si>
    <t>SPECTRO 90 WDG</t>
  </si>
  <si>
    <t>26/36</t>
  </si>
  <si>
    <t>TRISTAR 8.5 SL</t>
  </si>
  <si>
    <t>CHANGE UP</t>
  </si>
  <si>
    <t>3336 EG</t>
  </si>
  <si>
    <t>ADORN</t>
  </si>
  <si>
    <t>ARENA 0.25 G</t>
  </si>
  <si>
    <t>ARENA 50 WDG</t>
  </si>
  <si>
    <t>BROADSTAR</t>
  </si>
  <si>
    <t>DIPEL PRO DF</t>
  </si>
  <si>
    <t>DISTANCE IGR</t>
  </si>
  <si>
    <t>FASCINATION</t>
  </si>
  <si>
    <t>GNATROL WDG</t>
  </si>
  <si>
    <t>OVERTURE 35 WP</t>
  </si>
  <si>
    <t>SAFARI 20 SG</t>
  </si>
  <si>
    <t>SUMAGIC</t>
  </si>
  <si>
    <t>TAME 2.4 EC SPRAY</t>
  </si>
  <si>
    <t>TETRASAN 5 WDG</t>
  </si>
  <si>
    <t>TOURNEY</t>
  </si>
  <si>
    <t>MINX 2</t>
  </si>
  <si>
    <t>ALOFT LC G</t>
  </si>
  <si>
    <t>CERTAINTY</t>
  </si>
  <si>
    <t>CELERO</t>
  </si>
  <si>
    <t>SURE POWER</t>
  </si>
  <si>
    <t>ENGULF GHN</t>
  </si>
  <si>
    <t>Product</t>
  </si>
  <si>
    <t>Quantity</t>
  </si>
  <si>
    <t>2.5 gal. bottle</t>
  </si>
  <si>
    <t>50 lb. bag</t>
  </si>
  <si>
    <t>P1 Rebate/Unit</t>
  </si>
  <si>
    <t>P1 Volume Rebate/Unit</t>
  </si>
  <si>
    <t>P2 Rebate/Unit</t>
  </si>
  <si>
    <t>1 lb. bag</t>
  </si>
  <si>
    <t>30 gal. drum</t>
  </si>
  <si>
    <t>250 gal. tote</t>
  </si>
  <si>
    <t>8 wt oz. bottle</t>
  </si>
  <si>
    <t>1 pt. bottle</t>
  </si>
  <si>
    <t>64 fl oz. bottle</t>
  </si>
  <si>
    <t>30 lb. bag</t>
  </si>
  <si>
    <t>40 wt oz. bottle</t>
  </si>
  <si>
    <t>1 qt. bottle</t>
  </si>
  <si>
    <t>16 lb. pail</t>
  </si>
  <si>
    <t>1 gal. bottle</t>
  </si>
  <si>
    <t>12 wt oz. bottle</t>
  </si>
  <si>
    <t>5 lb. bag</t>
  </si>
  <si>
    <t>2.4 lb. bag</t>
  </si>
  <si>
    <t>60 fl oz. bottle</t>
  </si>
  <si>
    <t>0.5 gal. bottle</t>
  </si>
  <si>
    <t>15 gal. drum</t>
  </si>
  <si>
    <t>NY</t>
  </si>
  <si>
    <t>CHANGE UP 250 Gallon Tote</t>
  </si>
  <si>
    <t>1 lb. bottle</t>
  </si>
  <si>
    <t>1.25 wt oz. bottle</t>
  </si>
  <si>
    <t>2 wt oz. bottle</t>
  </si>
  <si>
    <t>3 lb. bottle</t>
  </si>
  <si>
    <t>5 lb. bottle</t>
  </si>
  <si>
    <t>Period 1</t>
  </si>
  <si>
    <t>Period 2</t>
  </si>
  <si>
    <t>Rebate/Unit</t>
  </si>
  <si>
    <t>Program Periods:</t>
  </si>
  <si>
    <t>Nufarm Edge Rewards Calculator</t>
  </si>
  <si>
    <t>ALOFT GC SC 4x64 Fl oz Case (1-7 units)</t>
  </si>
  <si>
    <t>ALOFT GC SC 4x64 Fl oz Case (8+ units)</t>
  </si>
  <si>
    <t>3336 F 2x2.5 Gallon Case (1-5 units)</t>
  </si>
  <si>
    <t>ANUEW 4x4x1.5 Lb Case (1 - 31 units)</t>
  </si>
  <si>
    <t>ANUEW 4x4x1.5 Lb Case (32+ units)</t>
  </si>
  <si>
    <t>PINPOINT 4x60 Fl oz Case (1-7 units)</t>
  </si>
  <si>
    <t>PINPOINT 4x60 Fl oz Case (8+ units)</t>
  </si>
  <si>
    <t>TRACTION 2x2.5 Gallon Case (1-5 units)</t>
  </si>
  <si>
    <t>TRACTION 2x2.5 Gallon Case (6+ units)</t>
  </si>
  <si>
    <t>Example Low Rate</t>
  </si>
  <si>
    <t>Example High Rate</t>
  </si>
  <si>
    <t>Measure</t>
  </si>
  <si>
    <t>lb / A</t>
  </si>
  <si>
    <t>Use</t>
  </si>
  <si>
    <t>Key:</t>
  </si>
  <si>
    <t>oz / A</t>
  </si>
  <si>
    <t>fl.oz / 100 gal</t>
  </si>
  <si>
    <t>oz / 100 gal</t>
  </si>
  <si>
    <t>Golf Turf</t>
  </si>
  <si>
    <t>consult label</t>
  </si>
  <si>
    <t>Lawn &amp; Landscape Ornamentals</t>
  </si>
  <si>
    <t>Name:</t>
  </si>
  <si>
    <t>Date:</t>
  </si>
  <si>
    <t>https://nufarm.com/usturf/</t>
  </si>
  <si>
    <t>For product and application details please visit our website:</t>
  </si>
  <si>
    <t>Always read and follow label directions</t>
  </si>
  <si>
    <t>Required #Units</t>
  </si>
  <si>
    <t>Own App Rate
(optional)</t>
  </si>
  <si>
    <t>This calculator tool is for planning purposes only.</t>
  </si>
  <si>
    <t>Select EOP Period 1 or 2 below</t>
  </si>
  <si>
    <t>NY 24-C only</t>
  </si>
  <si>
    <t>Subtotal Rebate</t>
  </si>
  <si>
    <r>
      <t>fl.oz / 1000</t>
    </r>
    <r>
      <rPr>
        <vertAlign val="superscript"/>
        <sz val="11"/>
        <rFont val="Arial"/>
        <family val="2"/>
      </rPr>
      <t>2</t>
    </r>
  </si>
  <si>
    <r>
      <t>lb / 1000</t>
    </r>
    <r>
      <rPr>
        <vertAlign val="superscript"/>
        <sz val="11"/>
        <rFont val="Arial"/>
        <family val="2"/>
      </rPr>
      <t>2</t>
    </r>
  </si>
  <si>
    <r>
      <t>oz / 1000</t>
    </r>
    <r>
      <rPr>
        <vertAlign val="superscript"/>
        <sz val="11"/>
        <rFont val="Arial"/>
        <family val="2"/>
      </rPr>
      <t>2</t>
    </r>
  </si>
  <si>
    <r>
      <t>lbs / 1000</t>
    </r>
    <r>
      <rPr>
        <vertAlign val="superscript"/>
        <sz val="11"/>
        <rFont val="Arial"/>
        <family val="2"/>
      </rPr>
      <t>2</t>
    </r>
  </si>
  <si>
    <r>
      <t xml:space="preserve">12 </t>
    </r>
    <r>
      <rPr>
        <sz val="10"/>
        <rFont val="Arial"/>
        <family val="2"/>
      </rPr>
      <t>cool season</t>
    </r>
    <r>
      <rPr>
        <sz val="6"/>
        <rFont val="Arial"/>
        <family val="2"/>
      </rPr>
      <t xml:space="preserve">
</t>
    </r>
    <r>
      <rPr>
        <sz val="11"/>
        <rFont val="Arial"/>
        <family val="2"/>
      </rPr>
      <t xml:space="preserve">
16 </t>
    </r>
    <r>
      <rPr>
        <sz val="10"/>
        <rFont val="Arial"/>
        <family val="2"/>
      </rPr>
      <t>warm season</t>
    </r>
  </si>
  <si>
    <t>Sports Turf</t>
  </si>
  <si>
    <r>
      <t xml:space="preserve">27 </t>
    </r>
    <r>
      <rPr>
        <sz val="10"/>
        <rFont val="Arial"/>
        <family val="2"/>
      </rPr>
      <t>cool season</t>
    </r>
    <r>
      <rPr>
        <sz val="6"/>
        <rFont val="Arial"/>
        <family val="2"/>
      </rPr>
      <t xml:space="preserve">
</t>
    </r>
    <r>
      <rPr>
        <sz val="11"/>
        <rFont val="Arial"/>
        <family val="2"/>
      </rPr>
      <t xml:space="preserve">
36 </t>
    </r>
    <r>
      <rPr>
        <sz val="10"/>
        <rFont val="Arial"/>
        <family val="2"/>
      </rPr>
      <t>warm season</t>
    </r>
  </si>
  <si>
    <t xml:space="preserve"> fl.oz / A</t>
  </si>
  <si>
    <t>3336 F 2x2.5 Gallon Case</t>
  </si>
  <si>
    <t>TRACTION</t>
  </si>
  <si>
    <t>SPIRATO GHN</t>
  </si>
  <si>
    <t>ANUEW EZ</t>
  </si>
  <si>
    <t>TOURNEY EZ</t>
  </si>
  <si>
    <t>ANUEW EZ 2x2.5 Gallon Case (6+ units)</t>
  </si>
  <si>
    <t>SUREGUARD XTRA 4x1 Gallon Case (1-3 units)</t>
  </si>
  <si>
    <t>ANUEW EZ 2x2.5 Gallon Case (1-5 units)</t>
  </si>
  <si>
    <t>TOURNEY EZ 4x1 Gallon Case (1-3 units)</t>
  </si>
  <si>
    <t>TOURNEY EZ 4x1 Gallon Case (4+ units)</t>
  </si>
  <si>
    <t>fl.oz / A</t>
  </si>
  <si>
    <r>
      <t xml:space="preserve">Your Treated Acres
</t>
    </r>
    <r>
      <rPr>
        <b/>
        <sz val="10"/>
        <color theme="0"/>
        <rFont val="Arial"/>
        <family val="2"/>
      </rPr>
      <t>(or gallons mix)</t>
    </r>
  </si>
  <si>
    <t>No State Registation
&amp;
(availability)</t>
  </si>
  <si>
    <t>CA not for ornamental use</t>
  </si>
  <si>
    <t>ANUEW</t>
  </si>
  <si>
    <t>1.5 lb. pack</t>
  </si>
  <si>
    <t>ANUEW EZ 4x64 Fl oz Case</t>
  </si>
  <si>
    <t>4-SPEED XT</t>
  </si>
  <si>
    <r>
      <t xml:space="preserve">2.5 gal. bottle </t>
    </r>
    <r>
      <rPr>
        <sz val="11"/>
        <color rgb="FF00B050"/>
        <rFont val="Arial"/>
        <family val="2"/>
      </rPr>
      <t>Volume 12+</t>
    </r>
  </si>
  <si>
    <t>2.5 gal. bottle Volume 12+</t>
  </si>
  <si>
    <t>1 lb. bottle Volume 4+</t>
  </si>
  <si>
    <r>
      <t>1 lb. bottle</t>
    </r>
    <r>
      <rPr>
        <sz val="11"/>
        <color rgb="FF00B050"/>
        <rFont val="Arial"/>
        <family val="2"/>
      </rPr>
      <t xml:space="preserve"> Volume 4+</t>
    </r>
  </si>
  <si>
    <t>Column1</t>
  </si>
  <si>
    <t>Column2</t>
  </si>
  <si>
    <t>Total Rebate3</t>
  </si>
  <si>
    <r>
      <t>2.5 gal. bottle</t>
    </r>
    <r>
      <rPr>
        <sz val="11"/>
        <color rgb="FF00B050"/>
        <rFont val="Arial"/>
        <family val="2"/>
      </rPr>
      <t xml:space="preserve"> Volume 12+</t>
    </r>
  </si>
  <si>
    <r>
      <t>2.5 gal. bottle</t>
    </r>
    <r>
      <rPr>
        <sz val="11"/>
        <color rgb="FF00B050"/>
        <rFont val="Arial"/>
        <family val="2"/>
      </rPr>
      <t xml:space="preserve"> Volume 6+</t>
    </r>
  </si>
  <si>
    <t>Bundle Rebate/Unit</t>
  </si>
  <si>
    <t>2.5 gal. bottle Volume 6+</t>
  </si>
  <si>
    <t>SOUTHPAW 4x5 Lb Case</t>
  </si>
  <si>
    <t>SOUTHPAW</t>
  </si>
  <si>
    <t>SOUTHPAW 12x16 Wt oz Case</t>
  </si>
  <si>
    <t>5 lb. bottle Volume 4+</t>
  </si>
  <si>
    <t>16 wt oz. bottle</t>
  </si>
  <si>
    <r>
      <t>5 lb. bottle</t>
    </r>
    <r>
      <rPr>
        <sz val="11"/>
        <color rgb="FF00B050"/>
        <rFont val="Arial"/>
        <family val="2"/>
      </rPr>
      <t xml:space="preserve"> Volume 4+</t>
    </r>
  </si>
  <si>
    <t>SUREGUARD EZ</t>
  </si>
  <si>
    <r>
      <t xml:space="preserve">64 fl oz. bottle </t>
    </r>
    <r>
      <rPr>
        <sz val="11"/>
        <color rgb="FF00B050"/>
        <rFont val="Arial"/>
        <family val="2"/>
      </rPr>
      <t>Volume 8+</t>
    </r>
  </si>
  <si>
    <t>SUREGUARD EZ 8x1 Pt Case</t>
  </si>
  <si>
    <t>SUREGUARD EZ 4x64 Fl oz Case</t>
  </si>
  <si>
    <t>64 fl oz. bottle Volume 8+</t>
  </si>
  <si>
    <r>
      <t>1 gal. bottle</t>
    </r>
    <r>
      <rPr>
        <sz val="11"/>
        <color rgb="FF00B050"/>
        <rFont val="Arial"/>
        <family val="2"/>
      </rPr>
      <t xml:space="preserve"> Volume 4+</t>
    </r>
  </si>
  <si>
    <t>SUREGUARD XTRA 4x1 Gallon Case</t>
  </si>
  <si>
    <t>1 gal. bottle Volume 4+</t>
  </si>
  <si>
    <t>HI, PR
NY Restricted Use Pesticide</t>
  </si>
  <si>
    <t>AK, AZ, CA, DC,  FL, HI, LA, NV, PR, TX
Not for sale, use or distribution in Nassau &amp; Suffolk Counties</t>
  </si>
  <si>
    <t>MT, ND, PR</t>
  </si>
  <si>
    <t>AK, CA, ID, ME, PR</t>
  </si>
  <si>
    <t>DC, FL</t>
  </si>
  <si>
    <t>PR
NYDEC 326.23(e) Not For Sale or Use on Long Island</t>
  </si>
  <si>
    <t>AZ, MT, PR
NY DEC 326.23(e) Not For Sale or Use on Long Island</t>
  </si>
  <si>
    <t>AK, DC, HI, PR</t>
  </si>
  <si>
    <t>AK, AZ, PR
NY DEC 326.23(e) Not For Sale or Use on Long Island</t>
  </si>
  <si>
    <t>PR</t>
  </si>
  <si>
    <t>AK, NY</t>
  </si>
  <si>
    <t>ALOFT GC SC</t>
  </si>
  <si>
    <r>
      <t>64 fl oz. bottle</t>
    </r>
    <r>
      <rPr>
        <sz val="11"/>
        <color rgb="FF00B050"/>
        <rFont val="Arial"/>
        <family val="2"/>
      </rPr>
      <t xml:space="preserve"> Volume 8+</t>
    </r>
  </si>
  <si>
    <t>ALOFT GC SC 4x64 Fl oz Case</t>
  </si>
  <si>
    <r>
      <t xml:space="preserve">30 lb. bag </t>
    </r>
    <r>
      <rPr>
        <sz val="11"/>
        <color rgb="FF00B050"/>
        <rFont val="Arial"/>
        <family val="2"/>
      </rPr>
      <t>Volume 50+</t>
    </r>
  </si>
  <si>
    <t>30 lb. bag Volume 50+</t>
  </si>
  <si>
    <t>ALOFT LC SC</t>
  </si>
  <si>
    <t>ALOFT LC SC 4x64 Fl oz Case</t>
  </si>
  <si>
    <r>
      <t>30 lb. bag</t>
    </r>
    <r>
      <rPr>
        <sz val="11"/>
        <color rgb="FF00B050"/>
        <rFont val="Arial"/>
        <family val="2"/>
      </rPr>
      <t xml:space="preserve"> Volume 50+</t>
    </r>
  </si>
  <si>
    <r>
      <t>40 wt oz. bottle</t>
    </r>
    <r>
      <rPr>
        <sz val="11"/>
        <color rgb="FF00B050"/>
        <rFont val="Arial"/>
        <family val="2"/>
      </rPr>
      <t xml:space="preserve"> Volume 8+</t>
    </r>
  </si>
  <si>
    <t>40 wt oz. bottle Volume 8+</t>
  </si>
  <si>
    <t>1 lb. bag Volume 8+</t>
  </si>
  <si>
    <r>
      <t>1 lb. bag</t>
    </r>
    <r>
      <rPr>
        <sz val="11"/>
        <color rgb="FF00B050"/>
        <rFont val="Arial"/>
        <family val="2"/>
      </rPr>
      <t xml:space="preserve"> Volume 8+</t>
    </r>
  </si>
  <si>
    <t>AK, PR</t>
  </si>
  <si>
    <t>PINPOINT</t>
  </si>
  <si>
    <r>
      <t>60 fl oz. bottle</t>
    </r>
    <r>
      <rPr>
        <sz val="11"/>
        <color rgb="FF00B050"/>
        <rFont val="Arial"/>
        <family val="2"/>
      </rPr>
      <t xml:space="preserve"> Volume 8+</t>
    </r>
  </si>
  <si>
    <t>PINPOINT 4x60 Fl oz Case</t>
  </si>
  <si>
    <t>60 fl oz. bottle Volume 8+</t>
  </si>
  <si>
    <t>1 pt. bottle Volume 8+</t>
  </si>
  <si>
    <t>TOURNEY EZ 4x1 Gallon Case</t>
  </si>
  <si>
    <t>TRACTION 2x2.5 Gallon Case</t>
  </si>
  <si>
    <t>ANUEW 4x4x1.5 Lb Case</t>
  </si>
  <si>
    <r>
      <t>1.5 lb. pack</t>
    </r>
    <r>
      <rPr>
        <sz val="11"/>
        <color rgb="FF00B050"/>
        <rFont val="Arial"/>
        <family val="2"/>
      </rPr>
      <t xml:space="preserve"> Volume 32+</t>
    </r>
  </si>
  <si>
    <t>1.5 lb. pack Volume 32+</t>
  </si>
  <si>
    <t>ANUEW EZ 2x2.5 Gallon Case</t>
  </si>
  <si>
    <t xml:space="preserve">Not all products are registered in all states, please verify state registration for your purposes. Aloft® GC and Tame 2.4 EC Spray are Restricted-Use Pesticides. 
</t>
  </si>
  <si>
    <t>BUNDLE PAIRINGS</t>
  </si>
  <si>
    <r>
      <rPr>
        <b/>
        <sz val="12"/>
        <color rgb="FFFFFFFF"/>
        <rFont val="Arial"/>
        <family val="2"/>
      </rPr>
      <t>PRODUCT 1</t>
    </r>
  </si>
  <si>
    <r>
      <rPr>
        <b/>
        <sz val="12"/>
        <color rgb="FFFFFFFF"/>
        <rFont val="Arial"/>
        <family val="2"/>
      </rPr>
      <t>PRODUCT 2</t>
    </r>
  </si>
  <si>
    <t>AK, DC</t>
  </si>
  <si>
    <t>AZ, PR</t>
  </si>
  <si>
    <t>AK, DC, PR</t>
  </si>
  <si>
    <t>HI</t>
  </si>
  <si>
    <t>HI
Not for sale, use or distribution in Nassau &amp; Suffolk Counties (No application within 50 ft of water body connected to off-site surface water in NY)</t>
  </si>
  <si>
    <t>ME, PR</t>
  </si>
  <si>
    <t>VELOCITY PM 8x1 Pt Case</t>
  </si>
  <si>
    <t>VELOCITY PM</t>
  </si>
  <si>
    <t>2.5 gal. bottle Bundle 4</t>
  </si>
  <si>
    <t>2.5 gal. bottle Bundle 3</t>
  </si>
  <si>
    <t>HORSEPOWER 250 Gallon Tote</t>
  </si>
  <si>
    <t>2.5 gal. bottle Bundle EZ Greenhouse Disease Solution</t>
  </si>
  <si>
    <t>2.4 lb. bag Bundle EZ Greenhouse Disease Solution</t>
  </si>
  <si>
    <t>1 pt. bottle Bundle EZ Greenhouse Disease Solution</t>
  </si>
  <si>
    <t>1 pt. bottle Bundle EZ Mite Solution</t>
  </si>
  <si>
    <t>1 gal. bottle Bundle EZ Mite Solution</t>
  </si>
  <si>
    <t>1 gal. bottle Bundle EZ Thrips Solution</t>
  </si>
  <si>
    <t>1 lb. bag Bundle EZ Thrips Solution</t>
  </si>
  <si>
    <t>1 lb. bag Bundle EZ Mite Solution</t>
  </si>
  <si>
    <t>1 gal. bottle Bundle EZ Nursery Weed &amp; Disease Solution</t>
  </si>
  <si>
    <t>AK, CA, HI, ME, NY</t>
  </si>
  <si>
    <t>2.5 gal. bottle Bundle EZ Nursery Weed &amp; Disease Solution</t>
  </si>
  <si>
    <t>ALLSTAR</t>
  </si>
  <si>
    <t>ALLSTAR 4x64 Fl oz Case</t>
  </si>
  <si>
    <t>ALLSTAR 2x2.5 Gallon Case</t>
  </si>
  <si>
    <t>ALLSTAR 30 Gallon Drum</t>
  </si>
  <si>
    <r>
      <rPr>
        <b/>
        <sz val="12"/>
        <rFont val="Arial"/>
        <family val="2"/>
      </rPr>
      <t xml:space="preserve">Buy a combination of two or more qualifying Nufarm brand products with a total value of at least $3,000 to earn valuable distributor credit rebates.
</t>
    </r>
    <r>
      <rPr>
        <sz val="12"/>
        <rFont val="Arial"/>
        <family val="2"/>
      </rPr>
      <t xml:space="preserve">
Enroll in the Nufarm Edge Rewards (NufarmRewards.com) program from September 1 to December 5, 2025, to be eligible. If previously registered, no need to sign up again.
Verify your account and loyalty number by filling out the online registration form at NufarmRewards.com using the same email address you registered with. Account details will be sent via email.</t>
    </r>
  </si>
  <si>
    <t>Volume Bonus rebates available during EOP 1, Sept 1 - Oct 31, 2025.</t>
  </si>
  <si>
    <t>Amplify your savings during EOP 1 (September 1 to October 31, 2025). Get your Volume Bonus Rewards by ordering the minimum required quantity of qualifying products between September 1 and October 31, 2025. Orders between Nov 1 - Dec 5, 2025 are eligible for EOP 2 Rewards only.</t>
  </si>
  <si>
    <t xml:space="preserve">Maximize your savings with EZ Solution Rebate Rewards anytime during EOP 1 &amp; EOP 2 (Sept 1 – Dec 5, 2025). To qualify for EZ Solutions rebate rewards product combinations and required minimum quantities must be purchased on a single distributor invoice. </t>
  </si>
  <si>
    <t>One-time purchase of 8+ Anuew EZ 2.5-gallon jugs, or 48+ Anuew 1.5-pound packs qualifies you for four associated EZ Solution combinations Tourney EZ, Traction, or Millennium Ultra 2.</t>
  </si>
  <si>
    <t>©2025 Nufarm.</t>
  </si>
  <si>
    <t>EZ Solution bundles are your best value combinations available Sept 1 – Dec 5, 2025. Purchase the product combinations at the minimum required quantities on a single invoice.</t>
  </si>
  <si>
    <r>
      <rPr>
        <b/>
        <sz val="12"/>
        <rFont val="Arial"/>
        <family val="2"/>
      </rPr>
      <t>EOP 1</t>
    </r>
    <r>
      <rPr>
        <sz val="12"/>
        <rFont val="Arial"/>
        <family val="2"/>
      </rPr>
      <t>: Sept 1 - Oct 31, 2025</t>
    </r>
  </si>
  <si>
    <r>
      <rPr>
        <b/>
        <sz val="12"/>
        <rFont val="Arial"/>
        <family val="2"/>
      </rPr>
      <t>EOP 2</t>
    </r>
    <r>
      <rPr>
        <sz val="12"/>
        <rFont val="Arial"/>
        <family val="2"/>
      </rPr>
      <t>: Nov 1 - Dec 5, 2025</t>
    </r>
  </si>
  <si>
    <t>NY, PR, Elsewhere Restricted Use Pesticide</t>
  </si>
  <si>
    <t>ME, PR, WY</t>
  </si>
  <si>
    <t>AK, CA, Hi, NY, PR</t>
  </si>
  <si>
    <t>AK, AZ, CA, CT, HI, IA, ID, MA, ME, MI, MN, MT, ND, NH, NY, OR, PR, RI, SD, VT, WA, WI, WY</t>
  </si>
  <si>
    <t>Bundle P2</t>
  </si>
  <si>
    <t>Bundle P1</t>
  </si>
  <si>
    <r>
      <rPr>
        <b/>
        <sz val="12"/>
        <color rgb="FF00563F"/>
        <rFont val="Arial"/>
        <family val="2"/>
      </rPr>
      <t xml:space="preserve">Anuew EZ 64 fl oz
</t>
    </r>
    <r>
      <rPr>
        <sz val="12"/>
        <rFont val="Arial"/>
        <family val="2"/>
      </rPr>
      <t>4+ Units</t>
    </r>
  </si>
  <si>
    <r>
      <rPr>
        <b/>
        <sz val="12"/>
        <color rgb="FF00563F"/>
        <rFont val="Arial"/>
        <family val="2"/>
      </rPr>
      <t xml:space="preserve">Tourney EZ pints
</t>
    </r>
    <r>
      <rPr>
        <sz val="12"/>
        <rFont val="Arial"/>
        <family val="2"/>
      </rPr>
      <t>8+ Units</t>
    </r>
  </si>
  <si>
    <r>
      <rPr>
        <b/>
        <sz val="12"/>
        <color rgb="FF00563F"/>
        <rFont val="Arial"/>
        <family val="2"/>
      </rPr>
      <t xml:space="preserve">Aneuw 1.5 lb
</t>
    </r>
    <r>
      <rPr>
        <sz val="12"/>
        <rFont val="Arial"/>
        <family val="2"/>
      </rPr>
      <t xml:space="preserve">48+ Units
</t>
    </r>
    <r>
      <rPr>
        <b/>
        <sz val="12"/>
        <color rgb="FF00B050"/>
        <rFont val="Arial"/>
        <family val="2"/>
      </rPr>
      <t>or</t>
    </r>
    <r>
      <rPr>
        <sz val="12"/>
        <rFont val="Arial"/>
        <family val="2"/>
      </rPr>
      <t xml:space="preserve">
Anuew EZ 2.5 gal
8+ Units</t>
    </r>
  </si>
  <si>
    <r>
      <t>2.5 gal. bottle</t>
    </r>
    <r>
      <rPr>
        <sz val="11"/>
        <color rgb="FF00B050"/>
        <rFont val="Arial"/>
        <family val="2"/>
      </rPr>
      <t xml:space="preserve"> Bundle 2</t>
    </r>
  </si>
  <si>
    <r>
      <t>2.5 gal. bottle</t>
    </r>
    <r>
      <rPr>
        <sz val="11"/>
        <color rgb="FF00B050"/>
        <rFont val="Arial"/>
        <family val="2"/>
      </rPr>
      <t xml:space="preserve"> Bundle 4</t>
    </r>
  </si>
  <si>
    <r>
      <t xml:space="preserve">64 fl oz. bottle </t>
    </r>
    <r>
      <rPr>
        <sz val="11"/>
        <color rgb="FF00B050"/>
        <rFont val="Arial"/>
        <family val="2"/>
      </rPr>
      <t>Bundle 5</t>
    </r>
  </si>
  <si>
    <r>
      <t>2.5 gal. bottle</t>
    </r>
    <r>
      <rPr>
        <sz val="11"/>
        <color rgb="FF00B050"/>
        <rFont val="Arial"/>
        <family val="2"/>
      </rPr>
      <t xml:space="preserve"> Bundles 1 - 3</t>
    </r>
  </si>
  <si>
    <r>
      <t>1.5 lb. pack</t>
    </r>
    <r>
      <rPr>
        <sz val="11"/>
        <color rgb="FF00B050"/>
        <rFont val="Arial"/>
        <family val="2"/>
      </rPr>
      <t xml:space="preserve"> Bundles 1 - 3</t>
    </r>
  </si>
  <si>
    <r>
      <t xml:space="preserve">1 pt. bottle </t>
    </r>
    <r>
      <rPr>
        <sz val="11"/>
        <color rgb="FF00B050"/>
        <rFont val="Arial"/>
        <family val="2"/>
      </rPr>
      <t>Bundle 5</t>
    </r>
  </si>
  <si>
    <r>
      <t>1 gal. bottle</t>
    </r>
    <r>
      <rPr>
        <sz val="11"/>
        <color rgb="FF00B050"/>
        <rFont val="Arial"/>
        <family val="2"/>
      </rPr>
      <t xml:space="preserve"> Bundle 1</t>
    </r>
  </si>
  <si>
    <t>TOURNEY EZ 8x1 Pt Case</t>
  </si>
  <si>
    <t>1 pt. bottle Bundle 5</t>
  </si>
  <si>
    <t>1 gal. bottle Bundle 1</t>
  </si>
  <si>
    <t>2.5 gal. bottle Bundle 2</t>
  </si>
  <si>
    <t>1.5 lb. pack Bundles 1 - 3</t>
  </si>
  <si>
    <t>64 fl oz. bottle Bundle 5</t>
  </si>
  <si>
    <t>2.5 gal. bottle Bundles 1 - 3</t>
  </si>
  <si>
    <r>
      <t>2.5 gal. bott</t>
    </r>
    <r>
      <rPr>
        <sz val="11"/>
        <color rgb="FF00B050"/>
        <rFont val="Arial"/>
        <family val="2"/>
      </rPr>
      <t>le Bundle 3</t>
    </r>
  </si>
  <si>
    <r>
      <rPr>
        <b/>
        <sz val="12"/>
        <color rgb="FF00563F"/>
        <rFont val="Arial"/>
        <family val="2"/>
      </rPr>
      <t xml:space="preserve">Tourney EZ 1 gal
</t>
    </r>
    <r>
      <rPr>
        <sz val="12"/>
        <rFont val="Arial"/>
        <family val="2"/>
      </rPr>
      <t>4+ Units</t>
    </r>
  </si>
  <si>
    <r>
      <rPr>
        <b/>
        <sz val="12"/>
        <color rgb="FF00563F"/>
        <rFont val="Arial"/>
        <family val="2"/>
      </rPr>
      <t xml:space="preserve">Traction 2.5 gal
</t>
    </r>
    <r>
      <rPr>
        <sz val="12"/>
        <rFont val="Arial"/>
        <family val="2"/>
      </rPr>
      <t>6+ Units</t>
    </r>
  </si>
  <si>
    <r>
      <rPr>
        <b/>
        <sz val="12"/>
        <color rgb="FF00563F"/>
        <rFont val="Arial"/>
        <family val="2"/>
      </rPr>
      <t xml:space="preserve">Millennium Ultra 2 2.5 gal
</t>
    </r>
    <r>
      <rPr>
        <sz val="12"/>
        <rFont val="Arial"/>
        <family val="2"/>
      </rPr>
      <t>6+ Units</t>
    </r>
  </si>
  <si>
    <r>
      <rPr>
        <b/>
        <sz val="12"/>
        <color rgb="FF00563F"/>
        <rFont val="Arial"/>
        <family val="2"/>
      </rPr>
      <t xml:space="preserve">Traction 2.5 gal
</t>
    </r>
    <r>
      <rPr>
        <sz val="12"/>
        <rFont val="Arial"/>
        <family val="2"/>
      </rPr>
      <t>2+ Units</t>
    </r>
  </si>
  <si>
    <r>
      <rPr>
        <b/>
        <sz val="12"/>
        <color rgb="FF00563F"/>
        <rFont val="Arial"/>
        <family val="2"/>
      </rPr>
      <t xml:space="preserve">26/36 2.5 gal
</t>
    </r>
    <r>
      <rPr>
        <sz val="12"/>
        <rFont val="Arial"/>
        <family val="2"/>
      </rPr>
      <t>6+ Units</t>
    </r>
  </si>
  <si>
    <t>lb / 100 gal</t>
  </si>
  <si>
    <r>
      <t xml:space="preserve">3 lb. bottle </t>
    </r>
    <r>
      <rPr>
        <sz val="11"/>
        <color rgb="FF00B050"/>
        <rFont val="Arial"/>
        <family val="2"/>
      </rPr>
      <t>Volume 4+</t>
    </r>
  </si>
  <si>
    <t>3 lb. bottle Volume 4+</t>
  </si>
  <si>
    <r>
      <t xml:space="preserve">2.5 gal. bottle </t>
    </r>
    <r>
      <rPr>
        <sz val="11"/>
        <color rgb="FF00B050"/>
        <rFont val="Arial"/>
        <family val="2"/>
      </rPr>
      <t>Volume 6+</t>
    </r>
  </si>
  <si>
    <t>SUREGUARD XTRA</t>
  </si>
  <si>
    <r>
      <rPr>
        <b/>
        <sz val="16"/>
        <color rgb="FF00AB4F"/>
        <rFont val="Arial"/>
        <family val="2"/>
      </rPr>
      <t>+</t>
    </r>
  </si>
  <si>
    <t>CHAMPION++</t>
  </si>
  <si>
    <t>10 lb. bag</t>
  </si>
  <si>
    <t>CHAMPION++ 4x10 Lb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</si>
</sst>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0\ &quot;gal&quot;\)"/>
  </numFmts>
  <fonts count="42" x14ac:knownFonts="1">
    <font>
      <sz val="10"/>
      <name val="Verdana"/>
      <family val="2"/>
    </font>
    <font>
      <sz val="11"/>
      <color theme="1"/>
      <name val="Calibri"/>
      <family val="2"/>
      <scheme val="minor"/>
    </font>
    <font>
      <sz val="11"/>
      <color theme="1"/>
      <name val="Calibri"/>
      <family val="2"/>
      <scheme val="minor"/>
    </font>
    <font>
      <sz val="10"/>
      <name val="Verdana"/>
      <family val="2"/>
    </font>
    <font>
      <b/>
      <sz val="10"/>
      <name val="Verdana"/>
      <family val="2"/>
    </font>
    <font>
      <b/>
      <sz val="14"/>
      <name val="Verdana"/>
      <family val="2"/>
    </font>
    <font>
      <sz val="14"/>
      <name val="Verdana"/>
      <family val="2"/>
    </font>
    <font>
      <sz val="8"/>
      <name val="Verdana"/>
      <family val="2"/>
    </font>
    <font>
      <sz val="9"/>
      <color indexed="81"/>
      <name val="Tahoma"/>
      <family val="2"/>
    </font>
    <font>
      <b/>
      <sz val="9"/>
      <color indexed="81"/>
      <name val="Tahoma"/>
      <family val="2"/>
    </font>
    <font>
      <sz val="11"/>
      <color theme="1"/>
      <name val="Calibri"/>
      <family val="2"/>
    </font>
    <font>
      <sz val="10"/>
      <name val="Verdana"/>
      <family val="2"/>
    </font>
    <font>
      <u/>
      <sz val="10"/>
      <color theme="10"/>
      <name val="Verdana"/>
      <family val="2"/>
    </font>
    <font>
      <b/>
      <sz val="10"/>
      <color indexed="81"/>
      <name val="Tahoma"/>
      <family val="2"/>
    </font>
    <font>
      <sz val="10"/>
      <name val="Arial"/>
      <family val="2"/>
    </font>
    <font>
      <sz val="12"/>
      <name val="Arial"/>
      <family val="2"/>
    </font>
    <font>
      <b/>
      <sz val="14"/>
      <name val="Arial"/>
      <family val="2"/>
    </font>
    <font>
      <b/>
      <sz val="12"/>
      <name val="Arial"/>
      <family val="2"/>
    </font>
    <font>
      <u/>
      <sz val="12"/>
      <color theme="10"/>
      <name val="Arial"/>
      <family val="2"/>
    </font>
    <font>
      <b/>
      <u/>
      <sz val="12"/>
      <name val="Arial"/>
      <family val="2"/>
    </font>
    <font>
      <sz val="11"/>
      <name val="Arial"/>
      <family val="2"/>
    </font>
    <font>
      <b/>
      <sz val="13"/>
      <name val="Arial"/>
      <family val="2"/>
    </font>
    <font>
      <b/>
      <sz val="10"/>
      <name val="Arial"/>
      <family val="2"/>
    </font>
    <font>
      <b/>
      <sz val="16"/>
      <name val="Arial"/>
      <family val="2"/>
    </font>
    <font>
      <b/>
      <sz val="11"/>
      <name val="Arial"/>
      <family val="2"/>
    </font>
    <font>
      <b/>
      <i/>
      <sz val="12"/>
      <name val="Arial"/>
      <family val="2"/>
    </font>
    <font>
      <vertAlign val="superscript"/>
      <sz val="11"/>
      <name val="Arial"/>
      <family val="2"/>
    </font>
    <font>
      <sz val="6"/>
      <name val="Arial"/>
      <family val="2"/>
    </font>
    <font>
      <b/>
      <sz val="14"/>
      <color theme="2" tint="-0.749992370372631"/>
      <name val="Arial"/>
      <family val="2"/>
    </font>
    <font>
      <sz val="11"/>
      <name val="Calibri"/>
      <family val="2"/>
      <scheme val="minor"/>
    </font>
    <font>
      <sz val="10"/>
      <color indexed="81"/>
      <name val="Tahoma"/>
      <family val="2"/>
    </font>
    <font>
      <sz val="11"/>
      <color rgb="FF797879"/>
      <name val="Arial"/>
      <family val="2"/>
    </font>
    <font>
      <b/>
      <sz val="13"/>
      <color theme="0"/>
      <name val="Arial"/>
      <family val="2"/>
    </font>
    <font>
      <b/>
      <sz val="10"/>
      <color theme="0"/>
      <name val="Arial"/>
      <family val="2"/>
    </font>
    <font>
      <sz val="14"/>
      <name val="Arial"/>
      <family val="2"/>
    </font>
    <font>
      <sz val="11"/>
      <color rgb="FF00B050"/>
      <name val="Arial"/>
      <family val="2"/>
    </font>
    <font>
      <b/>
      <sz val="12"/>
      <color rgb="FFFFFFFF"/>
      <name val="Arial"/>
      <family val="2"/>
    </font>
    <font>
      <sz val="12"/>
      <name val="Verdana"/>
      <family val="2"/>
    </font>
    <font>
      <b/>
      <sz val="12"/>
      <color rgb="FF00563F"/>
      <name val="Arial"/>
      <family val="2"/>
    </font>
    <font>
      <sz val="9"/>
      <color indexed="81"/>
      <name val="Tahoma"/>
      <charset val="1"/>
    </font>
    <font>
      <b/>
      <sz val="12"/>
      <color rgb="FF00B050"/>
      <name val="Arial"/>
      <family val="2"/>
    </font>
    <font>
      <b/>
      <sz val="16"/>
      <color rgb="FF00AB4F"/>
      <name val="Arial"/>
      <family val="2"/>
    </font>
  </fonts>
  <fills count="1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008A3E"/>
        <bgColor indexed="64"/>
      </patternFill>
    </fill>
    <fill>
      <patternFill patternType="solid">
        <fgColor rgb="FF76B531"/>
        <bgColor indexed="64"/>
      </patternFill>
    </fill>
    <fill>
      <patternFill patternType="solid">
        <fgColor theme="9" tint="0.59999389629810485"/>
        <bgColor indexed="64"/>
      </patternFill>
    </fill>
    <fill>
      <patternFill patternType="solid">
        <fgColor rgb="FF00AB4F"/>
      </patternFill>
    </fill>
    <fill>
      <patternFill patternType="solid">
        <fgColor rgb="FF000000"/>
      </patternFill>
    </fill>
    <fill>
      <patternFill patternType="solid">
        <fgColor rgb="FF91C854"/>
      </patternFill>
    </fill>
    <fill>
      <patternFill patternType="solid">
        <fgColor rgb="FF6A3493"/>
      </patternFill>
    </fill>
    <fill>
      <patternFill patternType="solid">
        <fgColor rgb="FFFFC000"/>
        <bgColor indexed="64"/>
      </patternFill>
    </fill>
    <fill>
      <patternFill patternType="solid">
        <fgColor theme="8" tint="-0.499984740745262"/>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8">
    <xf numFmtId="0" fontId="0" fillId="0" borderId="0"/>
    <xf numFmtId="43"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0" fillId="0" borderId="0"/>
    <xf numFmtId="0" fontId="11" fillId="0" borderId="0"/>
    <xf numFmtId="0" fontId="12" fillId="0" borderId="0" applyNumberFormat="0" applyFill="0" applyBorder="0" applyAlignment="0" applyProtection="0"/>
    <xf numFmtId="0" fontId="1" fillId="0" borderId="0"/>
  </cellStyleXfs>
  <cellXfs count="281">
    <xf numFmtId="0" fontId="0" fillId="0" borderId="0" xfId="0"/>
    <xf numFmtId="0" fontId="4" fillId="0" borderId="1" xfId="0" applyFont="1" applyBorder="1"/>
    <xf numFmtId="0" fontId="4" fillId="0" borderId="0" xfId="0" applyFont="1"/>
    <xf numFmtId="0" fontId="0" fillId="0" borderId="1" xfId="0" applyBorder="1"/>
    <xf numFmtId="44" fontId="0" fillId="0" borderId="1" xfId="2" applyFont="1" applyFill="1" applyBorder="1"/>
    <xf numFmtId="44" fontId="0" fillId="0" borderId="0" xfId="2" applyFont="1"/>
    <xf numFmtId="44" fontId="0" fillId="0" borderId="0" xfId="2" applyFont="1" applyFill="1" applyBorder="1"/>
    <xf numFmtId="164" fontId="4" fillId="0" borderId="1" xfId="1" applyNumberFormat="1" applyFont="1" applyFill="1" applyBorder="1"/>
    <xf numFmtId="164" fontId="0" fillId="0" borderId="1" xfId="1" applyNumberFormat="1" applyFont="1" applyFill="1" applyBorder="1"/>
    <xf numFmtId="164" fontId="0" fillId="0" borderId="0" xfId="1" applyNumberFormat="1" applyFont="1"/>
    <xf numFmtId="44" fontId="4" fillId="0" borderId="1" xfId="2" applyFont="1" applyFill="1" applyBorder="1" applyAlignment="1">
      <alignment horizontal="center" vertical="center" wrapText="1"/>
    </xf>
    <xf numFmtId="44" fontId="0" fillId="0" borderId="0" xfId="2" applyFont="1" applyAlignment="1">
      <alignment horizontal="center" vertical="center" wrapText="1"/>
    </xf>
    <xf numFmtId="0" fontId="7" fillId="0" borderId="0" xfId="0" applyFont="1"/>
    <xf numFmtId="0" fontId="7" fillId="0" borderId="0" xfId="0" applyFont="1" applyFill="1" applyAlignment="1">
      <alignment wrapText="1"/>
    </xf>
    <xf numFmtId="0" fontId="0" fillId="0" borderId="1" xfId="0" applyFill="1" applyBorder="1"/>
    <xf numFmtId="44" fontId="4" fillId="0" borderId="1" xfId="2"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horizontal="center" vertical="center" wrapText="1"/>
      <protection locked="0"/>
    </xf>
    <xf numFmtId="0" fontId="0" fillId="0" borderId="0" xfId="0" applyAlignment="1">
      <alignment horizontal="left"/>
    </xf>
    <xf numFmtId="0" fontId="4" fillId="0" borderId="1" xfId="0" applyFont="1" applyBorder="1" applyAlignment="1">
      <alignment horizontal="left"/>
    </xf>
    <xf numFmtId="0" fontId="0" fillId="0" borderId="1" xfId="0" applyBorder="1" applyAlignment="1">
      <alignment horizontal="left"/>
    </xf>
    <xf numFmtId="0" fontId="7" fillId="0" borderId="0" xfId="0" applyFont="1" applyFill="1" applyAlignment="1">
      <alignment horizontal="left" wrapText="1"/>
    </xf>
    <xf numFmtId="0" fontId="7" fillId="0" borderId="0" xfId="0" applyFont="1" applyAlignment="1">
      <alignment horizontal="left"/>
    </xf>
    <xf numFmtId="0" fontId="4" fillId="0" borderId="1" xfId="0" applyFont="1" applyFill="1" applyBorder="1" applyAlignment="1">
      <alignment horizontal="left" vertical="center"/>
    </xf>
    <xf numFmtId="165" fontId="0" fillId="0" borderId="1" xfId="2" applyNumberFormat="1" applyFont="1" applyFill="1" applyBorder="1" applyAlignment="1">
      <alignment horizontal="right" vertical="center" wrapText="1"/>
    </xf>
    <xf numFmtId="165" fontId="4" fillId="0" borderId="1" xfId="2" applyNumberFormat="1" applyFont="1" applyFill="1" applyBorder="1" applyAlignment="1">
      <alignment horizontal="right" vertical="center" wrapText="1"/>
    </xf>
    <xf numFmtId="0" fontId="0" fillId="0" borderId="3" xfId="0" applyFill="1" applyBorder="1"/>
    <xf numFmtId="0" fontId="0" fillId="0" borderId="0" xfId="0" applyFill="1"/>
    <xf numFmtId="0" fontId="0" fillId="0" borderId="0" xfId="0" applyFill="1" applyAlignment="1">
      <alignment horizontal="left"/>
    </xf>
    <xf numFmtId="164" fontId="0" fillId="0" borderId="0" xfId="1" applyNumberFormat="1" applyFont="1" applyFill="1"/>
    <xf numFmtId="44" fontId="0" fillId="0" borderId="0" xfId="2" applyFont="1" applyFill="1"/>
    <xf numFmtId="44" fontId="0" fillId="0" borderId="0" xfId="2" applyFont="1" applyFill="1" applyAlignment="1">
      <alignment horizontal="center" vertical="center" wrapText="1"/>
    </xf>
    <xf numFmtId="0" fontId="0" fillId="0" borderId="1" xfId="0" applyFill="1" applyBorder="1" applyAlignment="1">
      <alignment horizontal="left"/>
    </xf>
    <xf numFmtId="0" fontId="0" fillId="5" borderId="1" xfId="0" applyFill="1" applyBorder="1"/>
    <xf numFmtId="0" fontId="0" fillId="5" borderId="1" xfId="0" applyFill="1" applyBorder="1" applyAlignment="1">
      <alignment horizontal="left"/>
    </xf>
    <xf numFmtId="165" fontId="0" fillId="5" borderId="1" xfId="2" applyNumberFormat="1" applyFont="1" applyFill="1" applyBorder="1" applyAlignment="1">
      <alignment horizontal="right" vertical="center" wrapText="1"/>
    </xf>
    <xf numFmtId="164" fontId="0" fillId="5" borderId="1" xfId="1" applyNumberFormat="1" applyFont="1" applyFill="1" applyBorder="1"/>
    <xf numFmtId="44" fontId="0" fillId="5" borderId="1" xfId="2" applyFont="1" applyFill="1" applyBorder="1"/>
    <xf numFmtId="44" fontId="0" fillId="5" borderId="0" xfId="2" applyFont="1" applyFill="1" applyAlignment="1">
      <alignment horizontal="center" vertical="center" wrapText="1"/>
    </xf>
    <xf numFmtId="164" fontId="21" fillId="4" borderId="1" xfId="1" applyNumberFormat="1" applyFont="1" applyFill="1" applyBorder="1" applyAlignment="1" applyProtection="1">
      <alignment horizontal="center" vertical="center" wrapText="1"/>
    </xf>
    <xf numFmtId="0" fontId="20" fillId="4" borderId="1" xfId="1" applyNumberFormat="1" applyFont="1" applyFill="1" applyBorder="1" applyAlignment="1" applyProtection="1">
      <alignment horizontal="center" wrapText="1"/>
      <protection locked="0"/>
    </xf>
    <xf numFmtId="2" fontId="20" fillId="4" borderId="1" xfId="1" applyNumberFormat="1" applyFont="1" applyFill="1" applyBorder="1" applyAlignment="1" applyProtection="1">
      <alignment horizontal="center" wrapText="1"/>
      <protection locked="0"/>
    </xf>
    <xf numFmtId="0" fontId="32" fillId="7" borderId="1" xfId="0" applyFont="1" applyFill="1" applyBorder="1" applyAlignment="1" applyProtection="1">
      <alignment horizontal="center" vertical="center"/>
    </xf>
    <xf numFmtId="0" fontId="32" fillId="7" borderId="1" xfId="0" applyFont="1" applyFill="1" applyBorder="1" applyAlignment="1" applyProtection="1">
      <alignment horizontal="center" vertical="center" wrapText="1"/>
    </xf>
    <xf numFmtId="0" fontId="20" fillId="4" borderId="8" xfId="1" applyNumberFormat="1" applyFont="1" applyFill="1" applyBorder="1" applyAlignment="1" applyProtection="1">
      <alignment horizontal="center" wrapText="1"/>
      <protection locked="0"/>
    </xf>
    <xf numFmtId="2" fontId="20" fillId="4" borderId="8" xfId="1" applyNumberFormat="1" applyFont="1" applyFill="1" applyBorder="1" applyAlignment="1" applyProtection="1">
      <alignment horizontal="center" wrapText="1"/>
      <protection locked="0"/>
    </xf>
    <xf numFmtId="0" fontId="34" fillId="0" borderId="0" xfId="0" applyFont="1"/>
    <xf numFmtId="164" fontId="16" fillId="4" borderId="1" xfId="1" applyNumberFormat="1" applyFont="1" applyFill="1" applyBorder="1" applyAlignment="1" applyProtection="1">
      <alignment horizontal="center" vertical="center" wrapText="1"/>
      <protection locked="0"/>
    </xf>
    <xf numFmtId="0" fontId="24" fillId="8" borderId="10" xfId="0" applyFont="1" applyFill="1" applyBorder="1" applyAlignment="1" applyProtection="1">
      <alignment horizontal="left" vertical="center"/>
    </xf>
    <xf numFmtId="0" fontId="24" fillId="8" borderId="9" xfId="0" applyFont="1" applyFill="1" applyBorder="1" applyAlignment="1" applyProtection="1">
      <alignment horizontal="left" vertical="center"/>
    </xf>
    <xf numFmtId="0" fontId="0" fillId="9" borderId="1" xfId="0" applyFill="1" applyBorder="1"/>
    <xf numFmtId="0" fontId="0" fillId="9" borderId="1" xfId="0" applyFill="1" applyBorder="1" applyAlignment="1">
      <alignment horizontal="left"/>
    </xf>
    <xf numFmtId="165" fontId="0" fillId="9" borderId="1" xfId="2" applyNumberFormat="1" applyFont="1" applyFill="1" applyBorder="1" applyAlignment="1">
      <alignment horizontal="right" vertical="center" wrapText="1"/>
    </xf>
    <xf numFmtId="164" fontId="0" fillId="9" borderId="1" xfId="1" applyNumberFormat="1" applyFont="1" applyFill="1" applyBorder="1"/>
    <xf numFmtId="44" fontId="0" fillId="9" borderId="1" xfId="2" applyFont="1" applyFill="1" applyBorder="1"/>
    <xf numFmtId="0" fontId="4" fillId="0" borderId="0" xfId="2" applyNumberFormat="1" applyFont="1" applyAlignment="1">
      <alignment horizontal="center" wrapText="1"/>
    </xf>
    <xf numFmtId="0" fontId="4" fillId="0" borderId="0" xfId="1" applyNumberFormat="1" applyFont="1" applyAlignment="1">
      <alignment horizontal="center"/>
    </xf>
    <xf numFmtId="0" fontId="4" fillId="0" borderId="0" xfId="2" applyNumberFormat="1" applyFont="1" applyAlignment="1">
      <alignment horizontal="center"/>
    </xf>
    <xf numFmtId="0" fontId="4" fillId="0" borderId="15" xfId="0" applyFont="1" applyFill="1" applyBorder="1" applyAlignment="1">
      <alignment vertical="center"/>
    </xf>
    <xf numFmtId="0" fontId="0" fillId="5" borderId="15" xfId="0" applyFill="1" applyBorder="1" applyAlignment="1">
      <alignment horizontal="center"/>
    </xf>
    <xf numFmtId="0" fontId="0" fillId="0" borderId="15" xfId="0" applyBorder="1" applyAlignment="1">
      <alignment horizontal="center"/>
    </xf>
    <xf numFmtId="0" fontId="0" fillId="9" borderId="15" xfId="0" applyFill="1" applyBorder="1" applyAlignment="1">
      <alignment horizontal="center"/>
    </xf>
    <xf numFmtId="44" fontId="4" fillId="0" borderId="6" xfId="2" applyFont="1" applyFill="1" applyBorder="1" applyAlignment="1" applyProtection="1">
      <alignment horizontal="center" vertical="center" wrapText="1"/>
      <protection locked="0"/>
    </xf>
    <xf numFmtId="44" fontId="0" fillId="5" borderId="6" xfId="2" applyFont="1" applyFill="1" applyBorder="1"/>
    <xf numFmtId="44" fontId="0" fillId="0" borderId="6" xfId="2" applyFont="1" applyFill="1" applyBorder="1"/>
    <xf numFmtId="44" fontId="0" fillId="9" borderId="6" xfId="2" applyFont="1" applyFill="1" applyBorder="1"/>
    <xf numFmtId="0" fontId="4" fillId="2" borderId="16" xfId="0" applyFont="1" applyFill="1" applyBorder="1" applyAlignment="1">
      <alignment horizontal="center" vertical="center"/>
    </xf>
    <xf numFmtId="0" fontId="4" fillId="2" borderId="8" xfId="0" applyFont="1" applyFill="1" applyBorder="1" applyAlignment="1">
      <alignment horizontal="center" vertical="center"/>
    </xf>
    <xf numFmtId="44" fontId="4" fillId="2" borderId="8" xfId="2" applyFont="1" applyFill="1" applyBorder="1" applyAlignment="1" applyProtection="1">
      <alignment horizontal="center" vertical="center" wrapText="1"/>
      <protection locked="0"/>
    </xf>
    <xf numFmtId="164" fontId="4" fillId="2" borderId="8" xfId="1" applyNumberFormat="1" applyFont="1" applyFill="1" applyBorder="1" applyAlignment="1" applyProtection="1">
      <alignment horizontal="center" vertical="center" wrapText="1"/>
      <protection locked="0"/>
    </xf>
    <xf numFmtId="44" fontId="4" fillId="2" borderId="11" xfId="2" applyFont="1" applyFill="1" applyBorder="1" applyAlignment="1" applyProtection="1">
      <alignment horizontal="center" vertical="center" wrapText="1"/>
      <protection locked="0"/>
    </xf>
    <xf numFmtId="0" fontId="0" fillId="0" borderId="17" xfId="0" applyBorder="1" applyAlignment="1">
      <alignment horizontal="center"/>
    </xf>
    <xf numFmtId="0" fontId="0" fillId="0" borderId="14" xfId="0" applyBorder="1"/>
    <xf numFmtId="0" fontId="0" fillId="0" borderId="14" xfId="0" applyBorder="1" applyAlignment="1">
      <alignment horizontal="left"/>
    </xf>
    <xf numFmtId="165" fontId="0" fillId="0" borderId="14" xfId="2" applyNumberFormat="1" applyFont="1" applyFill="1" applyBorder="1" applyAlignment="1">
      <alignment horizontal="right" vertical="center" wrapText="1"/>
    </xf>
    <xf numFmtId="164" fontId="0" fillId="0" borderId="14" xfId="1" applyNumberFormat="1" applyFont="1" applyFill="1" applyBorder="1"/>
    <xf numFmtId="44" fontId="0" fillId="0" borderId="14" xfId="2" applyFont="1" applyFill="1" applyBorder="1"/>
    <xf numFmtId="44" fontId="0" fillId="0" borderId="18" xfId="2" applyFont="1" applyFill="1" applyBorder="1"/>
    <xf numFmtId="165" fontId="0" fillId="0" borderId="1" xfId="1" applyNumberFormat="1" applyFont="1" applyFill="1" applyBorder="1"/>
    <xf numFmtId="165" fontId="0" fillId="5" borderId="1" xfId="1" applyNumberFormat="1" applyFont="1" applyFill="1" applyBorder="1"/>
    <xf numFmtId="0" fontId="24" fillId="0" borderId="0" xfId="0" applyFont="1" applyFill="1" applyBorder="1" applyAlignment="1" applyProtection="1">
      <alignment horizontal="right" vertical="center"/>
    </xf>
    <xf numFmtId="165" fontId="24" fillId="0" borderId="0" xfId="2" applyNumberFormat="1" applyFont="1" applyFill="1" applyBorder="1" applyAlignment="1" applyProtection="1">
      <alignment horizontal="right" vertical="center" wrapText="1"/>
    </xf>
    <xf numFmtId="0" fontId="32" fillId="7" borderId="8" xfId="0" applyFont="1" applyFill="1" applyBorder="1" applyAlignment="1" applyProtection="1">
      <alignment horizontal="center" vertical="center" wrapText="1"/>
    </xf>
    <xf numFmtId="0" fontId="32" fillId="7" borderId="8" xfId="0" applyFont="1" applyFill="1" applyBorder="1" applyAlignment="1" applyProtection="1">
      <alignment horizontal="center" vertical="center"/>
    </xf>
    <xf numFmtId="0" fontId="14" fillId="0" borderId="0" xfId="0" applyFont="1" applyProtection="1"/>
    <xf numFmtId="0" fontId="14" fillId="0" borderId="4" xfId="0" applyFont="1" applyBorder="1" applyProtection="1"/>
    <xf numFmtId="0" fontId="14" fillId="0" borderId="0" xfId="0" applyFont="1" applyFill="1" applyBorder="1" applyAlignment="1" applyProtection="1">
      <alignment wrapText="1"/>
    </xf>
    <xf numFmtId="0" fontId="14" fillId="0" borderId="4" xfId="0" applyFont="1" applyBorder="1" applyAlignment="1" applyProtection="1">
      <alignment horizontal="left"/>
    </xf>
    <xf numFmtId="0" fontId="31" fillId="0" borderId="0" xfId="0" applyFont="1" applyAlignment="1" applyProtection="1"/>
    <xf numFmtId="0" fontId="14" fillId="0" borderId="0" xfId="0" applyFont="1" applyAlignment="1" applyProtection="1"/>
    <xf numFmtId="0" fontId="14" fillId="2" borderId="0" xfId="0" applyFont="1" applyFill="1" applyProtection="1"/>
    <xf numFmtId="0" fontId="16" fillId="2" borderId="5" xfId="0" applyFont="1" applyFill="1" applyBorder="1" applyAlignment="1" applyProtection="1">
      <alignment vertical="center"/>
    </xf>
    <xf numFmtId="0" fontId="16" fillId="0" borderId="5" xfId="0" applyFont="1" applyFill="1" applyBorder="1" applyAlignment="1" applyProtection="1">
      <alignment vertical="center"/>
    </xf>
    <xf numFmtId="164" fontId="14" fillId="0" borderId="0" xfId="1" applyNumberFormat="1" applyFont="1" applyProtection="1"/>
    <xf numFmtId="44" fontId="14" fillId="0" borderId="0" xfId="2" applyFont="1" applyAlignment="1" applyProtection="1">
      <alignment horizontal="center" vertical="center" wrapText="1"/>
    </xf>
    <xf numFmtId="0" fontId="14" fillId="0" borderId="0" xfId="2" applyNumberFormat="1" applyFont="1" applyProtection="1"/>
    <xf numFmtId="164" fontId="17" fillId="0" borderId="0" xfId="1" applyNumberFormat="1" applyFont="1" applyAlignment="1" applyProtection="1">
      <alignment horizontal="right"/>
    </xf>
    <xf numFmtId="0" fontId="18" fillId="0" borderId="0" xfId="6" applyNumberFormat="1" applyFont="1" applyProtection="1"/>
    <xf numFmtId="0" fontId="16" fillId="0" borderId="0" xfId="0" applyFont="1" applyFill="1" applyBorder="1" applyAlignment="1" applyProtection="1">
      <alignment vertical="center"/>
    </xf>
    <xf numFmtId="0" fontId="19" fillId="0" borderId="0" xfId="0" applyFont="1" applyAlignment="1" applyProtection="1">
      <alignment horizontal="center"/>
    </xf>
    <xf numFmtId="0" fontId="14" fillId="0" borderId="0" xfId="0" applyFont="1" applyAlignment="1" applyProtection="1">
      <alignment horizontal="left"/>
    </xf>
    <xf numFmtId="0" fontId="34" fillId="0" borderId="0" xfId="0" applyFont="1" applyAlignment="1" applyProtection="1">
      <alignment horizontal="center" vertical="center"/>
    </xf>
    <xf numFmtId="0" fontId="15" fillId="0" borderId="0" xfId="0" applyFont="1" applyAlignment="1" applyProtection="1">
      <alignment horizontal="left" vertical="center"/>
    </xf>
    <xf numFmtId="44" fontId="22" fillId="0" borderId="0" xfId="2" applyFont="1" applyFill="1" applyAlignment="1" applyProtection="1">
      <alignment horizontal="center" vertical="center" wrapText="1"/>
    </xf>
    <xf numFmtId="0" fontId="22" fillId="0" borderId="0" xfId="2" applyNumberFormat="1" applyFont="1" applyFill="1" applyProtection="1"/>
    <xf numFmtId="0" fontId="19" fillId="0" borderId="0" xfId="0" applyFont="1" applyFill="1" applyProtection="1"/>
    <xf numFmtId="0" fontId="14" fillId="0" borderId="0" xfId="2" applyNumberFormat="1" applyFont="1" applyFill="1" applyProtection="1"/>
    <xf numFmtId="44" fontId="14" fillId="0" borderId="0" xfId="2" applyFont="1" applyFill="1" applyAlignment="1" applyProtection="1">
      <alignment horizontal="center" vertical="center"/>
    </xf>
    <xf numFmtId="0" fontId="14" fillId="0" borderId="0" xfId="0" applyFont="1" applyAlignment="1" applyProtection="1">
      <alignment horizontal="left" vertical="top"/>
    </xf>
    <xf numFmtId="0" fontId="34" fillId="0" borderId="0" xfId="0" applyFont="1" applyBorder="1" applyAlignment="1" applyProtection="1">
      <alignment horizontal="center" vertical="center"/>
    </xf>
    <xf numFmtId="0" fontId="19" fillId="0" borderId="0" xfId="0" applyFont="1" applyProtection="1"/>
    <xf numFmtId="0" fontId="21" fillId="0" borderId="0" xfId="0" applyFont="1" applyAlignment="1" applyProtection="1">
      <alignment horizontal="center"/>
    </xf>
    <xf numFmtId="0" fontId="15" fillId="0" borderId="0" xfId="0" applyFont="1" applyAlignment="1" applyProtection="1">
      <alignment vertical="center"/>
    </xf>
    <xf numFmtId="164" fontId="16" fillId="2" borderId="0" xfId="1" applyNumberFormat="1" applyFont="1" applyFill="1" applyAlignment="1" applyProtection="1">
      <alignment horizontal="right"/>
    </xf>
    <xf numFmtId="165" fontId="16" fillId="2" borderId="0" xfId="1" applyNumberFormat="1" applyFont="1" applyFill="1" applyAlignment="1" applyProtection="1">
      <alignment horizontal="right"/>
    </xf>
    <xf numFmtId="44" fontId="14" fillId="0" borderId="0" xfId="2" applyFont="1" applyFill="1" applyAlignment="1" applyProtection="1">
      <alignment horizontal="center" vertical="center" wrapText="1"/>
    </xf>
    <xf numFmtId="0" fontId="15" fillId="0" borderId="0" xfId="0" applyFont="1" applyProtection="1"/>
    <xf numFmtId="0" fontId="14" fillId="0" borderId="0" xfId="0" applyFont="1" applyFill="1" applyAlignment="1" applyProtection="1">
      <alignment vertical="top"/>
    </xf>
    <xf numFmtId="9" fontId="14" fillId="0" borderId="0" xfId="3" applyFont="1" applyProtection="1"/>
    <xf numFmtId="0" fontId="14" fillId="0" borderId="0" xfId="0" applyFont="1" applyFill="1" applyBorder="1" applyProtection="1"/>
    <xf numFmtId="0" fontId="17" fillId="0" borderId="0" xfId="0" applyFont="1" applyAlignment="1" applyProtection="1">
      <alignment horizontal="left" vertical="center"/>
    </xf>
    <xf numFmtId="0" fontId="23" fillId="0" borderId="0" xfId="0" applyFont="1" applyFill="1" applyAlignment="1" applyProtection="1">
      <alignment wrapText="1"/>
    </xf>
    <xf numFmtId="0" fontId="14" fillId="0" borderId="0" xfId="0" applyFont="1" applyFill="1" applyProtection="1"/>
    <xf numFmtId="0" fontId="15" fillId="0" borderId="0" xfId="0" applyFont="1" applyFill="1" applyAlignment="1" applyProtection="1">
      <alignment horizontal="left" vertical="center"/>
    </xf>
    <xf numFmtId="0" fontId="24" fillId="2" borderId="1" xfId="0" applyFont="1" applyFill="1" applyBorder="1" applyAlignment="1" applyProtection="1">
      <alignment horizontal="center" vertical="center"/>
    </xf>
    <xf numFmtId="0" fontId="24" fillId="2" borderId="6"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2" fillId="0" borderId="0" xfId="0" applyFont="1" applyProtection="1"/>
    <xf numFmtId="0" fontId="20" fillId="0" borderId="1" xfId="0" applyFont="1" applyBorder="1" applyAlignment="1" applyProtection="1">
      <alignment horizontal="center"/>
    </xf>
    <xf numFmtId="0" fontId="24" fillId="0" borderId="6" xfId="0" applyFont="1" applyBorder="1" applyProtection="1"/>
    <xf numFmtId="0" fontId="24" fillId="0" borderId="0" xfId="0" applyFont="1" applyBorder="1" applyProtection="1"/>
    <xf numFmtId="0" fontId="20" fillId="0" borderId="6" xfId="0" applyFont="1" applyFill="1" applyBorder="1" applyProtection="1"/>
    <xf numFmtId="0" fontId="20" fillId="6" borderId="0" xfId="0" applyFont="1" applyFill="1" applyBorder="1" applyProtection="1"/>
    <xf numFmtId="0" fontId="20" fillId="0" borderId="1" xfId="0" applyFont="1" applyFill="1" applyBorder="1" applyAlignment="1" applyProtection="1">
      <alignment horizontal="left"/>
    </xf>
    <xf numFmtId="165" fontId="20" fillId="0" borderId="1" xfId="2" applyNumberFormat="1" applyFont="1" applyFill="1" applyBorder="1" applyAlignment="1" applyProtection="1">
      <alignment horizontal="right" wrapText="1"/>
    </xf>
    <xf numFmtId="2" fontId="20" fillId="0" borderId="8" xfId="2" applyNumberFormat="1" applyFont="1" applyFill="1" applyBorder="1" applyAlignment="1" applyProtection="1">
      <alignment horizontal="center"/>
    </xf>
    <xf numFmtId="166" fontId="20" fillId="0" borderId="8" xfId="0" applyNumberFormat="1" applyFont="1" applyFill="1" applyBorder="1" applyAlignment="1" applyProtection="1">
      <alignment horizontal="center"/>
    </xf>
    <xf numFmtId="165" fontId="20" fillId="0" borderId="8" xfId="2" applyNumberFormat="1" applyFont="1" applyFill="1" applyBorder="1" applyProtection="1"/>
    <xf numFmtId="0" fontId="20" fillId="0" borderId="0" xfId="0" applyFont="1" applyBorder="1" applyProtection="1"/>
    <xf numFmtId="165" fontId="20" fillId="0" borderId="8" xfId="2" applyNumberFormat="1" applyFont="1" applyFill="1" applyBorder="1" applyAlignment="1" applyProtection="1">
      <alignment horizontal="right" wrapText="1"/>
    </xf>
    <xf numFmtId="0" fontId="20" fillId="0" borderId="6" xfId="0" applyFont="1" applyBorder="1" applyProtection="1"/>
    <xf numFmtId="2" fontId="14" fillId="0" borderId="1" xfId="2" applyNumberFormat="1" applyFont="1" applyFill="1" applyBorder="1" applyAlignment="1" applyProtection="1">
      <alignment horizontal="center"/>
    </xf>
    <xf numFmtId="165" fontId="20" fillId="0" borderId="1" xfId="2" applyNumberFormat="1" applyFont="1" applyFill="1" applyBorder="1" applyProtection="1"/>
    <xf numFmtId="0" fontId="20" fillId="0" borderId="8" xfId="0" applyFont="1" applyFill="1" applyBorder="1" applyAlignment="1" applyProtection="1">
      <alignment horizontal="left"/>
    </xf>
    <xf numFmtId="2" fontId="20" fillId="0" borderId="1" xfId="2" applyNumberFormat="1" applyFont="1" applyFill="1" applyBorder="1" applyAlignment="1" applyProtection="1">
      <alignment horizontal="center"/>
    </xf>
    <xf numFmtId="167" fontId="20" fillId="0" borderId="1" xfId="0" applyNumberFormat="1" applyFont="1" applyFill="1" applyBorder="1" applyAlignment="1" applyProtection="1">
      <alignment horizontal="center"/>
    </xf>
    <xf numFmtId="2" fontId="29" fillId="0" borderId="1" xfId="2" applyNumberFormat="1" applyFont="1" applyFill="1" applyBorder="1" applyAlignment="1" applyProtection="1">
      <alignment horizontal="center"/>
    </xf>
    <xf numFmtId="167" fontId="29" fillId="0" borderId="1" xfId="0" applyNumberFormat="1" applyFont="1" applyFill="1" applyBorder="1" applyAlignment="1" applyProtection="1">
      <alignment horizontal="center"/>
    </xf>
    <xf numFmtId="0" fontId="20" fillId="0" borderId="1" xfId="0" applyFont="1" applyFill="1" applyBorder="1" applyAlignment="1" applyProtection="1">
      <alignment horizontal="left" vertical="center"/>
    </xf>
    <xf numFmtId="166" fontId="20" fillId="0" borderId="1" xfId="0" applyNumberFormat="1" applyFont="1" applyFill="1" applyBorder="1" applyAlignment="1" applyProtection="1">
      <alignment horizontal="center"/>
    </xf>
    <xf numFmtId="0" fontId="20" fillId="0" borderId="1" xfId="0" applyFont="1" applyFill="1" applyBorder="1" applyAlignment="1" applyProtection="1">
      <alignment horizontal="center"/>
    </xf>
    <xf numFmtId="0" fontId="20" fillId="0" borderId="0" xfId="0" applyFont="1" applyFill="1" applyBorder="1" applyProtection="1"/>
    <xf numFmtId="0" fontId="25" fillId="0" borderId="6" xfId="0" applyFont="1" applyFill="1" applyBorder="1" applyAlignment="1" applyProtection="1">
      <alignment horizontal="left" vertical="center"/>
    </xf>
    <xf numFmtId="0" fontId="24" fillId="0" borderId="1" xfId="0" applyFont="1" applyFill="1" applyBorder="1" applyAlignment="1" applyProtection="1">
      <alignment vertical="center"/>
    </xf>
    <xf numFmtId="0" fontId="20" fillId="0" borderId="7" xfId="0" applyFont="1" applyFill="1" applyBorder="1" applyProtection="1"/>
    <xf numFmtId="0" fontId="36" fillId="10" borderId="18" xfId="0" applyFont="1" applyFill="1" applyBorder="1" applyAlignment="1" applyProtection="1">
      <alignment horizontal="center" vertical="center" wrapText="1"/>
    </xf>
    <xf numFmtId="0" fontId="37" fillId="10" borderId="19" xfId="0" applyFont="1" applyFill="1" applyBorder="1" applyAlignment="1" applyProtection="1">
      <alignment horizontal="center" vertical="center" wrapText="1"/>
    </xf>
    <xf numFmtId="0" fontId="17" fillId="10" borderId="17" xfId="0" applyFont="1" applyFill="1" applyBorder="1" applyAlignment="1" applyProtection="1">
      <alignment horizontal="center" vertical="center" wrapText="1"/>
    </xf>
    <xf numFmtId="1" fontId="36" fillId="11" borderId="7" xfId="0" applyNumberFormat="1" applyFont="1" applyFill="1" applyBorder="1" applyAlignment="1" applyProtection="1">
      <alignment horizontal="center" vertical="center" shrinkToFit="1"/>
    </xf>
    <xf numFmtId="1" fontId="36" fillId="12" borderId="25" xfId="0" applyNumberFormat="1" applyFont="1" applyFill="1" applyBorder="1" applyAlignment="1" applyProtection="1">
      <alignment horizontal="center" vertical="center" shrinkToFit="1"/>
    </xf>
    <xf numFmtId="0" fontId="15" fillId="0" borderId="24" xfId="0" applyFont="1" applyBorder="1" applyAlignment="1" applyProtection="1">
      <alignment horizontal="center" vertical="center" wrapText="1"/>
    </xf>
    <xf numFmtId="1" fontId="36" fillId="13" borderId="26" xfId="0" applyNumberFormat="1" applyFont="1" applyFill="1" applyBorder="1" applyAlignment="1" applyProtection="1">
      <alignment horizontal="center" vertical="center" shrinkToFit="1"/>
    </xf>
    <xf numFmtId="0" fontId="15" fillId="0" borderId="29" xfId="0" applyFont="1" applyBorder="1" applyAlignment="1" applyProtection="1">
      <alignment horizontal="center" vertical="center" wrapText="1"/>
    </xf>
    <xf numFmtId="0" fontId="20" fillId="0" borderId="0" xfId="0" applyFont="1" applyProtection="1"/>
    <xf numFmtId="0" fontId="14" fillId="0" borderId="0" xfId="2" applyNumberFormat="1" applyFont="1" applyFill="1" applyBorder="1" applyProtection="1"/>
    <xf numFmtId="0" fontId="25" fillId="0" borderId="0" xfId="0" applyFont="1" applyFill="1" applyBorder="1" applyAlignment="1" applyProtection="1">
      <alignment horizontal="left"/>
    </xf>
    <xf numFmtId="0" fontId="20" fillId="0" borderId="0" xfId="0" applyFont="1" applyBorder="1" applyAlignment="1" applyProtection="1">
      <alignment horizontal="center"/>
    </xf>
    <xf numFmtId="0" fontId="20" fillId="0" borderId="0" xfId="0" applyFont="1" applyFill="1" applyBorder="1" applyAlignment="1" applyProtection="1">
      <alignment horizontal="left"/>
    </xf>
    <xf numFmtId="0" fontId="20" fillId="0" borderId="0" xfId="1" applyNumberFormat="1" applyFont="1" applyFill="1" applyBorder="1" applyAlignment="1" applyProtection="1">
      <alignment horizontal="center" wrapText="1"/>
    </xf>
    <xf numFmtId="165" fontId="20" fillId="0" borderId="0" xfId="2" applyNumberFormat="1" applyFont="1" applyFill="1" applyBorder="1" applyAlignment="1" applyProtection="1">
      <alignment horizontal="right" wrapText="1"/>
    </xf>
    <xf numFmtId="2" fontId="20" fillId="0" borderId="0" xfId="2" applyNumberFormat="1" applyFont="1" applyFill="1" applyBorder="1" applyAlignment="1" applyProtection="1">
      <alignment horizontal="center"/>
    </xf>
    <xf numFmtId="167" fontId="20" fillId="0" borderId="0" xfId="0" applyNumberFormat="1" applyFont="1" applyFill="1" applyBorder="1" applyAlignment="1" applyProtection="1">
      <alignment horizontal="center"/>
    </xf>
    <xf numFmtId="165" fontId="20" fillId="0" borderId="0" xfId="2" applyNumberFormat="1" applyFont="1" applyFill="1" applyBorder="1" applyProtection="1"/>
    <xf numFmtId="0" fontId="20" fillId="0" borderId="0" xfId="0" applyFont="1" applyFill="1" applyProtection="1"/>
    <xf numFmtId="0" fontId="20" fillId="0" borderId="0" xfId="0" applyFont="1" applyAlignment="1" applyProtection="1"/>
    <xf numFmtId="0" fontId="28" fillId="0" borderId="0" xfId="0" applyFont="1" applyProtection="1"/>
    <xf numFmtId="0" fontId="14" fillId="0" borderId="0" xfId="0" applyFont="1" applyFill="1" applyAlignment="1" applyProtection="1">
      <alignment horizontal="left"/>
    </xf>
    <xf numFmtId="0" fontId="20" fillId="0" borderId="1" xfId="0" applyFont="1" applyFill="1" applyBorder="1" applyAlignment="1" applyProtection="1">
      <alignment horizontal="center"/>
    </xf>
    <xf numFmtId="164" fontId="0" fillId="0" borderId="1" xfId="1" applyNumberFormat="1" applyFont="1" applyFill="1" applyBorder="1" applyAlignment="1">
      <alignment horizontal="right" vertical="center" wrapText="1"/>
    </xf>
    <xf numFmtId="0" fontId="20" fillId="0" borderId="1" xfId="0" applyFont="1" applyFill="1" applyBorder="1" applyAlignment="1" applyProtection="1">
      <alignment horizontal="center"/>
    </xf>
    <xf numFmtId="164" fontId="0" fillId="3" borderId="0" xfId="1" applyNumberFormat="1" applyFont="1" applyFill="1" applyAlignment="1">
      <alignment horizontal="center"/>
    </xf>
    <xf numFmtId="1" fontId="36" fillId="14" borderId="23" xfId="0" applyNumberFormat="1" applyFont="1" applyFill="1" applyBorder="1" applyAlignment="1" applyProtection="1">
      <alignment horizontal="center" vertical="center" shrinkToFit="1"/>
    </xf>
    <xf numFmtId="1" fontId="36" fillId="15" borderId="25" xfId="0" applyNumberFormat="1" applyFont="1" applyFill="1" applyBorder="1" applyAlignment="1" applyProtection="1">
      <alignment horizontal="center" vertical="center" shrinkToFit="1"/>
    </xf>
    <xf numFmtId="0" fontId="23" fillId="0" borderId="22" xfId="0" applyFont="1" applyBorder="1" applyAlignment="1" applyProtection="1">
      <alignment horizontal="center" vertical="center" wrapText="1"/>
    </xf>
    <xf numFmtId="0" fontId="23" fillId="0" borderId="27" xfId="0" applyFont="1" applyBorder="1" applyAlignment="1" applyProtection="1">
      <alignment horizontal="center" vertical="center" wrapText="1"/>
    </xf>
    <xf numFmtId="0" fontId="20" fillId="16" borderId="8" xfId="0" applyFont="1" applyFill="1" applyBorder="1" applyAlignment="1" applyProtection="1">
      <alignment horizontal="left"/>
    </xf>
    <xf numFmtId="0" fontId="20" fillId="16" borderId="1" xfId="0" applyFont="1" applyFill="1" applyBorder="1" applyAlignment="1" applyProtection="1">
      <alignment horizontal="left"/>
    </xf>
    <xf numFmtId="0" fontId="25" fillId="16" borderId="6" xfId="0" applyFont="1" applyFill="1" applyBorder="1" applyAlignment="1" applyProtection="1">
      <alignment horizontal="left" vertical="center"/>
    </xf>
    <xf numFmtId="0" fontId="20" fillId="16" borderId="1" xfId="0" applyFont="1" applyFill="1" applyBorder="1" applyAlignment="1" applyProtection="1">
      <alignment horizontal="left" vertical="center"/>
    </xf>
    <xf numFmtId="165" fontId="20" fillId="16" borderId="8" xfId="2" applyNumberFormat="1" applyFont="1" applyFill="1" applyBorder="1" applyAlignment="1" applyProtection="1">
      <alignment horizontal="right" wrapText="1"/>
    </xf>
    <xf numFmtId="2" fontId="20" fillId="16" borderId="8" xfId="2" applyNumberFormat="1" applyFont="1" applyFill="1" applyBorder="1" applyAlignment="1" applyProtection="1">
      <alignment horizontal="center"/>
    </xf>
    <xf numFmtId="165" fontId="20" fillId="16" borderId="1" xfId="2" applyNumberFormat="1" applyFont="1" applyFill="1" applyBorder="1" applyAlignment="1" applyProtection="1">
      <alignment horizontal="right" wrapText="1"/>
    </xf>
    <xf numFmtId="2" fontId="20" fillId="16" borderId="1" xfId="2" applyNumberFormat="1" applyFont="1" applyFill="1" applyBorder="1" applyAlignment="1" applyProtection="1">
      <alignment horizontal="center"/>
    </xf>
    <xf numFmtId="2" fontId="14" fillId="16" borderId="1" xfId="2" applyNumberFormat="1" applyFont="1" applyFill="1" applyBorder="1" applyAlignment="1" applyProtection="1">
      <alignment horizontal="center"/>
    </xf>
    <xf numFmtId="166" fontId="20" fillId="16" borderId="8" xfId="0" applyNumberFormat="1" applyFont="1" applyFill="1" applyBorder="1" applyAlignment="1" applyProtection="1">
      <alignment horizontal="center"/>
    </xf>
    <xf numFmtId="165" fontId="20" fillId="16" borderId="8" xfId="2" applyNumberFormat="1" applyFont="1" applyFill="1" applyBorder="1" applyProtection="1"/>
    <xf numFmtId="165" fontId="20" fillId="16" borderId="1" xfId="2" applyNumberFormat="1" applyFont="1" applyFill="1" applyBorder="1" applyProtection="1"/>
    <xf numFmtId="166" fontId="20" fillId="16" borderId="1" xfId="0" applyNumberFormat="1" applyFont="1" applyFill="1" applyBorder="1" applyAlignment="1" applyProtection="1">
      <alignment horizontal="center"/>
    </xf>
    <xf numFmtId="167" fontId="20" fillId="16" borderId="1" xfId="0" applyNumberFormat="1" applyFont="1" applyFill="1" applyBorder="1" applyAlignment="1" applyProtection="1">
      <alignment horizontal="center"/>
    </xf>
    <xf numFmtId="0" fontId="25" fillId="16" borderId="14" xfId="0" applyFont="1" applyFill="1" applyBorder="1" applyAlignment="1" applyProtection="1">
      <alignment horizontal="left" vertical="center"/>
    </xf>
    <xf numFmtId="0" fontId="20" fillId="16" borderId="14" xfId="0" applyFont="1" applyFill="1" applyBorder="1" applyAlignment="1" applyProtection="1">
      <alignment horizontal="left" vertical="center"/>
    </xf>
    <xf numFmtId="0" fontId="20" fillId="16" borderId="14" xfId="0" applyFont="1" applyFill="1" applyBorder="1" applyAlignment="1" applyProtection="1">
      <alignment horizontal="center"/>
    </xf>
    <xf numFmtId="0" fontId="20" fillId="16" borderId="14"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xf>
    <xf numFmtId="0" fontId="20" fillId="0" borderId="14" xfId="0" applyFont="1" applyFill="1" applyBorder="1" applyAlignment="1" applyProtection="1">
      <alignment horizontal="left"/>
    </xf>
    <xf numFmtId="0" fontId="20" fillId="0" borderId="6" xfId="0" applyFont="1" applyFill="1" applyBorder="1" applyAlignment="1" applyProtection="1">
      <alignment horizontal="center"/>
    </xf>
    <xf numFmtId="0" fontId="20" fillId="0" borderId="1" xfId="0" applyFont="1" applyFill="1" applyBorder="1" applyAlignment="1" applyProtection="1">
      <alignment vertical="center" wrapText="1"/>
    </xf>
    <xf numFmtId="0" fontId="20" fillId="0" borderId="1" xfId="0" applyFont="1" applyFill="1" applyBorder="1" applyAlignment="1" applyProtection="1">
      <alignment horizontal="left" vertical="center" wrapText="1"/>
    </xf>
    <xf numFmtId="166" fontId="20" fillId="0" borderId="1" xfId="2" applyNumberFormat="1" applyFont="1" applyFill="1" applyBorder="1" applyAlignment="1" applyProtection="1">
      <alignment horizontal="center"/>
    </xf>
    <xf numFmtId="2" fontId="20" fillId="0" borderId="1" xfId="0" applyNumberFormat="1" applyFont="1" applyFill="1" applyBorder="1" applyAlignment="1" applyProtection="1">
      <alignment horizontal="center"/>
    </xf>
    <xf numFmtId="0" fontId="20" fillId="16" borderId="14" xfId="0" applyFont="1" applyFill="1" applyBorder="1" applyAlignment="1" applyProtection="1"/>
    <xf numFmtId="0" fontId="20" fillId="16" borderId="8" xfId="0" applyFont="1" applyFill="1" applyBorder="1" applyAlignment="1" applyProtection="1"/>
    <xf numFmtId="0" fontId="15" fillId="0" borderId="27" xfId="0" applyFont="1" applyBorder="1" applyAlignment="1" applyProtection="1">
      <alignment horizontal="center" vertical="center" wrapText="1"/>
    </xf>
    <xf numFmtId="0" fontId="37" fillId="0" borderId="28" xfId="0" applyFont="1" applyBorder="1" applyAlignment="1" applyProtection="1">
      <alignment horizontal="center" vertical="center" wrapText="1"/>
    </xf>
    <xf numFmtId="0" fontId="37" fillId="0" borderId="30" xfId="0" applyFont="1" applyBorder="1" applyAlignment="1" applyProtection="1">
      <alignment horizontal="center" vertical="center" wrapText="1"/>
    </xf>
    <xf numFmtId="0" fontId="17" fillId="10" borderId="19" xfId="0" applyFont="1" applyFill="1" applyBorder="1" applyAlignment="1" applyProtection="1">
      <alignment horizontal="center" vertical="center" wrapText="1"/>
    </xf>
    <xf numFmtId="0" fontId="15" fillId="0" borderId="4" xfId="0" applyFont="1" applyBorder="1" applyAlignment="1" applyProtection="1">
      <alignment horizontal="center" vertical="center" wrapText="1"/>
    </xf>
    <xf numFmtId="2" fontId="20" fillId="16" borderId="2" xfId="2" applyNumberFormat="1" applyFont="1" applyFill="1" applyBorder="1" applyAlignment="1" applyProtection="1">
      <alignment horizontal="center" vertical="center" wrapText="1"/>
    </xf>
    <xf numFmtId="2" fontId="20" fillId="16" borderId="3" xfId="2" applyNumberFormat="1" applyFont="1" applyFill="1" applyBorder="1" applyAlignment="1" applyProtection="1">
      <alignment horizontal="center" vertical="center" wrapText="1"/>
    </xf>
    <xf numFmtId="2" fontId="20" fillId="16" borderId="8" xfId="2" applyNumberFormat="1" applyFont="1" applyFill="1" applyBorder="1" applyAlignment="1" applyProtection="1">
      <alignment horizontal="center" vertical="center" wrapText="1"/>
    </xf>
    <xf numFmtId="0" fontId="25" fillId="16" borderId="2" xfId="0" applyFont="1" applyFill="1" applyBorder="1" applyAlignment="1" applyProtection="1">
      <alignment horizontal="left" vertical="center"/>
    </xf>
    <xf numFmtId="0" fontId="25" fillId="16" borderId="3" xfId="0" applyFont="1" applyFill="1" applyBorder="1" applyAlignment="1" applyProtection="1">
      <alignment horizontal="left" vertical="center"/>
    </xf>
    <xf numFmtId="0" fontId="25" fillId="16" borderId="8" xfId="0" applyFont="1" applyFill="1" applyBorder="1" applyAlignment="1" applyProtection="1">
      <alignment horizontal="left" vertical="center"/>
    </xf>
    <xf numFmtId="44" fontId="15" fillId="0" borderId="12" xfId="2" applyFont="1" applyBorder="1" applyAlignment="1" applyProtection="1">
      <alignment horizontal="left" wrapText="1"/>
      <protection locked="0"/>
    </xf>
    <xf numFmtId="0" fontId="15" fillId="0" borderId="0" xfId="0" applyFont="1" applyAlignment="1" applyProtection="1">
      <alignment horizontal="center"/>
    </xf>
    <xf numFmtId="44" fontId="15" fillId="0" borderId="13" xfId="2" applyFont="1" applyBorder="1" applyAlignment="1" applyProtection="1">
      <alignment horizontal="left" wrapText="1"/>
      <protection locked="0"/>
    </xf>
    <xf numFmtId="0" fontId="20" fillId="16" borderId="2" xfId="0" applyFont="1" applyFill="1" applyBorder="1" applyAlignment="1" applyProtection="1">
      <alignment horizontal="center"/>
    </xf>
    <xf numFmtId="0" fontId="20" fillId="16" borderId="3" xfId="0" applyFont="1" applyFill="1" applyBorder="1" applyAlignment="1" applyProtection="1">
      <alignment horizontal="center"/>
    </xf>
    <xf numFmtId="0" fontId="20" fillId="16" borderId="8" xfId="0" applyFont="1" applyFill="1" applyBorder="1" applyAlignment="1" applyProtection="1">
      <alignment horizontal="center"/>
    </xf>
    <xf numFmtId="0" fontId="20" fillId="16" borderId="2" xfId="0" applyFont="1" applyFill="1" applyBorder="1" applyAlignment="1" applyProtection="1">
      <alignment horizontal="left" vertical="center"/>
    </xf>
    <xf numFmtId="0" fontId="20" fillId="16" borderId="3" xfId="0" applyFont="1" applyFill="1" applyBorder="1" applyAlignment="1" applyProtection="1">
      <alignment horizontal="left" vertical="center"/>
    </xf>
    <xf numFmtId="0" fontId="20" fillId="16" borderId="8" xfId="0" applyFont="1" applyFill="1" applyBorder="1" applyAlignment="1" applyProtection="1">
      <alignment horizontal="left" vertical="center"/>
    </xf>
    <xf numFmtId="0" fontId="15" fillId="0" borderId="31"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5" fillId="0" borderId="33" xfId="0" applyFont="1" applyBorder="1" applyAlignment="1" applyProtection="1">
      <alignment horizontal="center" vertical="center" wrapText="1"/>
    </xf>
    <xf numFmtId="0" fontId="15" fillId="0" borderId="34"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35" xfId="0" applyFont="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36" xfId="0" applyFont="1" applyBorder="1" applyAlignment="1" applyProtection="1">
      <alignment horizontal="center" vertical="center" wrapText="1"/>
    </xf>
    <xf numFmtId="2" fontId="20" fillId="0" borderId="14" xfId="2" applyNumberFormat="1" applyFont="1" applyFill="1" applyBorder="1" applyAlignment="1" applyProtection="1">
      <alignment horizontal="center" vertical="center" wrapText="1"/>
    </xf>
    <xf numFmtId="2" fontId="20" fillId="0" borderId="3" xfId="2" applyNumberFormat="1" applyFont="1" applyFill="1" applyBorder="1" applyAlignment="1" applyProtection="1">
      <alignment horizontal="center" vertical="center" wrapText="1"/>
    </xf>
    <xf numFmtId="2" fontId="20" fillId="0" borderId="8" xfId="2" applyNumberFormat="1" applyFont="1" applyFill="1" applyBorder="1" applyAlignment="1" applyProtection="1">
      <alignment horizontal="center" vertical="center" wrapText="1"/>
    </xf>
    <xf numFmtId="0" fontId="25" fillId="0" borderId="14" xfId="0" applyFont="1" applyFill="1" applyBorder="1" applyAlignment="1" applyProtection="1">
      <alignment horizontal="left" vertical="center"/>
    </xf>
    <xf numFmtId="0" fontId="25" fillId="0" borderId="3" xfId="0" applyFont="1" applyFill="1" applyBorder="1" applyAlignment="1" applyProtection="1">
      <alignment horizontal="left" vertical="center"/>
    </xf>
    <xf numFmtId="0" fontId="25" fillId="0" borderId="8" xfId="0" applyFont="1" applyFill="1" applyBorder="1" applyAlignment="1" applyProtection="1">
      <alignment horizontal="left" vertical="center"/>
    </xf>
    <xf numFmtId="0" fontId="20" fillId="0" borderId="14" xfId="0" applyFont="1" applyFill="1" applyBorder="1" applyAlignment="1" applyProtection="1">
      <alignment horizontal="center"/>
    </xf>
    <xf numFmtId="0" fontId="20" fillId="0" borderId="3" xfId="0" applyFont="1" applyFill="1" applyBorder="1" applyAlignment="1" applyProtection="1">
      <alignment horizontal="center"/>
    </xf>
    <xf numFmtId="0" fontId="20" fillId="0" borderId="8" xfId="0" applyFont="1" applyFill="1" applyBorder="1" applyAlignment="1" applyProtection="1">
      <alignment horizontal="center"/>
    </xf>
    <xf numFmtId="0" fontId="20" fillId="0" borderId="14" xfId="0" applyFont="1" applyFill="1" applyBorder="1" applyAlignment="1" applyProtection="1">
      <alignment vertical="center"/>
    </xf>
    <xf numFmtId="0" fontId="20" fillId="0" borderId="3" xfId="0" applyFont="1" applyFill="1" applyBorder="1" applyAlignment="1" applyProtection="1">
      <alignment vertical="center"/>
    </xf>
    <xf numFmtId="0" fontId="20" fillId="0" borderId="8" xfId="0" applyFont="1" applyFill="1" applyBorder="1" applyAlignment="1" applyProtection="1">
      <alignment vertical="center"/>
    </xf>
    <xf numFmtId="0" fontId="25" fillId="16" borderId="14" xfId="0" applyFont="1" applyFill="1" applyBorder="1" applyAlignment="1" applyProtection="1">
      <alignment horizontal="left" vertical="center"/>
    </xf>
    <xf numFmtId="0" fontId="20" fillId="16" borderId="14" xfId="0" applyFont="1" applyFill="1" applyBorder="1" applyAlignment="1" applyProtection="1">
      <alignment horizontal="left" vertical="center"/>
    </xf>
    <xf numFmtId="0" fontId="20" fillId="0" borderId="14" xfId="0" applyFont="1" applyFill="1" applyBorder="1" applyAlignment="1" applyProtection="1">
      <alignment horizontal="left" vertical="center"/>
    </xf>
    <xf numFmtId="0" fontId="20" fillId="0" borderId="3"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20" fillId="16" borderId="14" xfId="0" applyFont="1" applyFill="1" applyBorder="1" applyAlignment="1" applyProtection="1">
      <alignment horizontal="center"/>
    </xf>
    <xf numFmtId="0" fontId="20" fillId="0" borderId="14"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16" borderId="14" xfId="0" applyFont="1" applyFill="1" applyBorder="1" applyAlignment="1" applyProtection="1">
      <alignment horizontal="left" vertical="center" wrapText="1"/>
    </xf>
    <xf numFmtId="0" fontId="20" fillId="16" borderId="3" xfId="0" applyFont="1" applyFill="1" applyBorder="1" applyAlignment="1" applyProtection="1">
      <alignment horizontal="left" vertical="center" wrapText="1"/>
    </xf>
    <xf numFmtId="0" fontId="20" fillId="16" borderId="14" xfId="0" applyFont="1" applyFill="1" applyBorder="1" applyAlignment="1" applyProtection="1">
      <alignment horizontal="center" vertical="center"/>
    </xf>
    <xf numFmtId="0" fontId="20" fillId="16" borderId="3" xfId="0" applyFont="1" applyFill="1" applyBorder="1" applyAlignment="1" applyProtection="1">
      <alignment horizontal="center" vertical="center"/>
    </xf>
    <xf numFmtId="0" fontId="20" fillId="16" borderId="8" xfId="0" applyFont="1" applyFill="1" applyBorder="1" applyAlignment="1" applyProtection="1">
      <alignment horizontal="center" vertical="center"/>
    </xf>
    <xf numFmtId="0" fontId="20" fillId="0" borderId="14"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wrapText="1"/>
    </xf>
    <xf numFmtId="0" fontId="20" fillId="0" borderId="8" xfId="0" applyFont="1" applyFill="1" applyBorder="1" applyAlignment="1" applyProtection="1">
      <alignment horizontal="left" vertical="center" wrapText="1"/>
    </xf>
    <xf numFmtId="0" fontId="25" fillId="0" borderId="14" xfId="0" applyFont="1" applyFill="1" applyBorder="1" applyAlignment="1" applyProtection="1">
      <alignment vertical="center"/>
    </xf>
    <xf numFmtId="0" fontId="25" fillId="0" borderId="3" xfId="0" applyFont="1" applyFill="1" applyBorder="1" applyAlignment="1" applyProtection="1">
      <alignment vertical="center"/>
    </xf>
    <xf numFmtId="0" fontId="25" fillId="0" borderId="8" xfId="0" applyFont="1" applyFill="1" applyBorder="1" applyAlignment="1" applyProtection="1">
      <alignment vertical="center"/>
    </xf>
    <xf numFmtId="0" fontId="14" fillId="0" borderId="0" xfId="0" applyFont="1" applyAlignment="1" applyProtection="1">
      <alignment horizontal="left" wrapText="1"/>
    </xf>
    <xf numFmtId="0" fontId="20" fillId="16" borderId="1" xfId="0" applyFont="1" applyFill="1" applyBorder="1" applyAlignment="1" applyProtection="1">
      <alignment horizontal="center"/>
    </xf>
    <xf numFmtId="0" fontId="20" fillId="16" borderId="1" xfId="0" applyFont="1" applyFill="1" applyBorder="1" applyAlignment="1" applyProtection="1">
      <alignment horizontal="left" vertical="center"/>
    </xf>
    <xf numFmtId="0" fontId="25" fillId="16" borderId="1" xfId="0" applyFont="1" applyFill="1" applyBorder="1" applyAlignment="1" applyProtection="1">
      <alignment horizontal="left" vertical="center"/>
    </xf>
    <xf numFmtId="0" fontId="20" fillId="16" borderId="8" xfId="0" applyFont="1" applyFill="1" applyBorder="1" applyAlignment="1" applyProtection="1">
      <alignment horizontal="left" vertical="center" wrapText="1"/>
    </xf>
    <xf numFmtId="0" fontId="25" fillId="0" borderId="2" xfId="0" applyFont="1" applyFill="1" applyBorder="1" applyAlignment="1" applyProtection="1">
      <alignment horizontal="left" vertical="center"/>
    </xf>
    <xf numFmtId="0" fontId="20" fillId="0" borderId="2" xfId="0" applyFont="1" applyFill="1" applyBorder="1" applyAlignment="1" applyProtection="1">
      <alignment horizontal="center"/>
    </xf>
    <xf numFmtId="0" fontId="20" fillId="0" borderId="2" xfId="0" applyFont="1" applyFill="1" applyBorder="1" applyAlignment="1" applyProtection="1">
      <alignment horizontal="left" vertical="center"/>
    </xf>
    <xf numFmtId="164" fontId="5" fillId="0" borderId="0" xfId="1" applyNumberFormat="1" applyFont="1" applyFill="1" applyAlignment="1">
      <alignment horizontal="center"/>
    </xf>
    <xf numFmtId="44" fontId="6" fillId="0" borderId="0" xfId="2" applyFont="1" applyFill="1" applyAlignment="1">
      <alignment horizontal="center"/>
    </xf>
  </cellXfs>
  <cellStyles count="8">
    <cellStyle name="Comma" xfId="1" builtinId="3"/>
    <cellStyle name="Currency" xfId="2" builtinId="4"/>
    <cellStyle name="Hyperlink" xfId="6" builtinId="8"/>
    <cellStyle name="Normal" xfId="0" builtinId="0"/>
    <cellStyle name="Normal 104" xfId="4" xr:uid="{01AC4DAB-C2D2-4349-A10D-BD069403DB8D}"/>
    <cellStyle name="Normal 2" xfId="5" xr:uid="{B820C37A-9F79-4FA5-BE5F-B371E4A16EB7}"/>
    <cellStyle name="Normal 3" xfId="7" xr:uid="{D8DA3FEA-ECE7-4454-858E-2EBA9D750972}"/>
    <cellStyle name="Percent" xfId="3" builtinId="5"/>
  </cellStyles>
  <dxfs count="16">
    <dxf>
      <font>
        <b val="0"/>
        <i val="0"/>
        <strike val="0"/>
        <condense val="0"/>
        <extend val="0"/>
        <outline val="0"/>
        <shadow val="0"/>
        <u val="none"/>
        <vertAlign val="baseline"/>
        <sz val="10"/>
        <color auto="1"/>
        <name val="Verdana"/>
        <family val="2"/>
        <scheme val="none"/>
      </font>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Verdana"/>
        <family val="2"/>
        <scheme val="none"/>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Verdana"/>
        <family val="2"/>
        <scheme val="none"/>
      </font>
      <numFmt numFmtId="165"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Verdana"/>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Verdana"/>
        <family val="2"/>
        <scheme val="none"/>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Verdana"/>
        <family val="2"/>
        <scheme val="none"/>
      </font>
      <numFmt numFmtId="164"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Verdana"/>
        <family val="2"/>
        <scheme val="none"/>
      </font>
      <numFmt numFmtId="165"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Verdana"/>
        <family val="2"/>
        <scheme val="none"/>
      </font>
      <fill>
        <patternFill patternType="solid">
          <fgColor indexed="64"/>
          <bgColor rgb="FF00B05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800000"/>
      <color rgb="FF993366"/>
      <color rgb="FF7C3BFF"/>
      <color rgb="FF9966FF"/>
      <color rgb="FF76B531"/>
      <color rgb="FF6619FF"/>
      <color rgb="FF008A3E"/>
      <color rgb="FF00823B"/>
      <color rgb="FFBA97FF"/>
      <color rgb="FFB28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oneCellAnchor>
    <xdr:from>
      <xdr:col>3</xdr:col>
      <xdr:colOff>1099466</xdr:colOff>
      <xdr:row>6</xdr:row>
      <xdr:rowOff>0</xdr:rowOff>
    </xdr:from>
    <xdr:ext cx="295618" cy="298795"/>
    <xdr:pic>
      <xdr:nvPicPr>
        <xdr:cNvPr id="128" name="Graphic 127" descr="Home with solid fill">
          <a:extLst>
            <a:ext uri="{FF2B5EF4-FFF2-40B4-BE49-F238E27FC236}">
              <a16:creationId xmlns:a16="http://schemas.microsoft.com/office/drawing/2014/main" id="{9DD7FB16-7015-4660-8D94-9F24152D14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28066" y="3140529"/>
          <a:ext cx="295618" cy="298795"/>
        </a:xfrm>
        <a:prstGeom prst="rect">
          <a:avLst/>
        </a:prstGeom>
      </xdr:spPr>
    </xdr:pic>
    <xdr:clientData/>
  </xdr:oneCellAnchor>
  <xdr:oneCellAnchor>
    <xdr:from>
      <xdr:col>3</xdr:col>
      <xdr:colOff>1097057</xdr:colOff>
      <xdr:row>4</xdr:row>
      <xdr:rowOff>19371</xdr:rowOff>
    </xdr:from>
    <xdr:ext cx="320492" cy="318791"/>
    <xdr:pic>
      <xdr:nvPicPr>
        <xdr:cNvPr id="130" name="Graphic 129" descr="Golf Flag In Hole with solid fill">
          <a:extLst>
            <a:ext uri="{FF2B5EF4-FFF2-40B4-BE49-F238E27FC236}">
              <a16:creationId xmlns:a16="http://schemas.microsoft.com/office/drawing/2014/main" id="{362277E0-EB3D-4EA7-8FE1-B2D74EE759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25657" y="2474100"/>
          <a:ext cx="320492" cy="318791"/>
        </a:xfrm>
        <a:prstGeom prst="rect">
          <a:avLst/>
        </a:prstGeom>
      </xdr:spPr>
    </xdr:pic>
    <xdr:clientData/>
  </xdr:oneCellAnchor>
  <xdr:twoCellAnchor>
    <xdr:from>
      <xdr:col>3</xdr:col>
      <xdr:colOff>96210</xdr:colOff>
      <xdr:row>78</xdr:row>
      <xdr:rowOff>171449</xdr:rowOff>
    </xdr:from>
    <xdr:to>
      <xdr:col>3</xdr:col>
      <xdr:colOff>387566</xdr:colOff>
      <xdr:row>79</xdr:row>
      <xdr:rowOff>159549</xdr:rowOff>
    </xdr:to>
    <xdr:pic>
      <xdr:nvPicPr>
        <xdr:cNvPr id="273" name="Graphic 272" descr="Golf Flag In Hole with solid fill">
          <a:extLst>
            <a:ext uri="{FF2B5EF4-FFF2-40B4-BE49-F238E27FC236}">
              <a16:creationId xmlns:a16="http://schemas.microsoft.com/office/drawing/2014/main" id="{1324C3D2-4764-48BC-92B3-7203F6F688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1181" y="6581214"/>
          <a:ext cx="291356" cy="290659"/>
        </a:xfrm>
        <a:prstGeom prst="rect">
          <a:avLst/>
        </a:prstGeom>
      </xdr:spPr>
    </xdr:pic>
    <xdr:clientData/>
  </xdr:twoCellAnchor>
  <xdr:twoCellAnchor>
    <xdr:from>
      <xdr:col>3</xdr:col>
      <xdr:colOff>797204</xdr:colOff>
      <xdr:row>78</xdr:row>
      <xdr:rowOff>170462</xdr:rowOff>
    </xdr:from>
    <xdr:to>
      <xdr:col>3</xdr:col>
      <xdr:colOff>1065948</xdr:colOff>
      <xdr:row>79</xdr:row>
      <xdr:rowOff>139535</xdr:rowOff>
    </xdr:to>
    <xdr:pic>
      <xdr:nvPicPr>
        <xdr:cNvPr id="274" name="Graphic 273" descr="Home with solid fill">
          <a:extLst>
            <a:ext uri="{FF2B5EF4-FFF2-40B4-BE49-F238E27FC236}">
              <a16:creationId xmlns:a16="http://schemas.microsoft.com/office/drawing/2014/main" id="{1A404E54-2667-44AC-BF14-22700971B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22175" y="6580227"/>
          <a:ext cx="268744" cy="271632"/>
        </a:xfrm>
        <a:prstGeom prst="rect">
          <a:avLst/>
        </a:prstGeom>
      </xdr:spPr>
    </xdr:pic>
    <xdr:clientData/>
  </xdr:twoCellAnchor>
  <xdr:oneCellAnchor>
    <xdr:from>
      <xdr:col>3</xdr:col>
      <xdr:colOff>96210</xdr:colOff>
      <xdr:row>80</xdr:row>
      <xdr:rowOff>14568</xdr:rowOff>
    </xdr:from>
    <xdr:ext cx="291356" cy="291356"/>
    <xdr:pic>
      <xdr:nvPicPr>
        <xdr:cNvPr id="275" name="Graphic 274" descr="Golf Flag In Hole with solid fill">
          <a:extLst>
            <a:ext uri="{FF2B5EF4-FFF2-40B4-BE49-F238E27FC236}">
              <a16:creationId xmlns:a16="http://schemas.microsoft.com/office/drawing/2014/main" id="{17A9A7EC-FF55-425B-BF2E-2D0C0AC569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336085" y="4908037"/>
          <a:ext cx="291356" cy="291356"/>
        </a:xfrm>
        <a:prstGeom prst="rect">
          <a:avLst/>
        </a:prstGeom>
      </xdr:spPr>
    </xdr:pic>
    <xdr:clientData/>
  </xdr:oneCellAnchor>
  <xdr:twoCellAnchor>
    <xdr:from>
      <xdr:col>3</xdr:col>
      <xdr:colOff>797204</xdr:colOff>
      <xdr:row>80</xdr:row>
      <xdr:rowOff>13581</xdr:rowOff>
    </xdr:from>
    <xdr:to>
      <xdr:col>3</xdr:col>
      <xdr:colOff>1065948</xdr:colOff>
      <xdr:row>80</xdr:row>
      <xdr:rowOff>285213</xdr:rowOff>
    </xdr:to>
    <xdr:pic>
      <xdr:nvPicPr>
        <xdr:cNvPr id="276" name="Graphic 275" descr="Home with solid fill">
          <a:extLst>
            <a:ext uri="{FF2B5EF4-FFF2-40B4-BE49-F238E27FC236}">
              <a16:creationId xmlns:a16="http://schemas.microsoft.com/office/drawing/2014/main" id="{EB68BB0D-053E-4ADF-BD38-2B75DD4C57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754" y="6595356"/>
          <a:ext cx="268744" cy="271632"/>
        </a:xfrm>
        <a:prstGeom prst="rect">
          <a:avLst/>
        </a:prstGeom>
      </xdr:spPr>
    </xdr:pic>
    <xdr:clientData/>
  </xdr:twoCellAnchor>
  <xdr:twoCellAnchor>
    <xdr:from>
      <xdr:col>3</xdr:col>
      <xdr:colOff>96210</xdr:colOff>
      <xdr:row>86</xdr:row>
      <xdr:rowOff>25701</xdr:rowOff>
    </xdr:from>
    <xdr:to>
      <xdr:col>3</xdr:col>
      <xdr:colOff>387566</xdr:colOff>
      <xdr:row>87</xdr:row>
      <xdr:rowOff>10601</xdr:rowOff>
    </xdr:to>
    <xdr:pic>
      <xdr:nvPicPr>
        <xdr:cNvPr id="285" name="Graphic 284" descr="Golf Flag In Hole with solid fill">
          <a:extLst>
            <a:ext uri="{FF2B5EF4-FFF2-40B4-BE49-F238E27FC236}">
              <a16:creationId xmlns:a16="http://schemas.microsoft.com/office/drawing/2014/main" id="{926F0566-0A79-40F9-BBFC-9D384CB4F8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04028" y="8494292"/>
          <a:ext cx="291356" cy="291356"/>
        </a:xfrm>
        <a:prstGeom prst="rect">
          <a:avLst/>
        </a:prstGeom>
      </xdr:spPr>
    </xdr:pic>
    <xdr:clientData/>
  </xdr:twoCellAnchor>
  <xdr:twoCellAnchor>
    <xdr:from>
      <xdr:col>3</xdr:col>
      <xdr:colOff>797204</xdr:colOff>
      <xdr:row>86</xdr:row>
      <xdr:rowOff>24714</xdr:rowOff>
    </xdr:from>
    <xdr:to>
      <xdr:col>3</xdr:col>
      <xdr:colOff>1065948</xdr:colOff>
      <xdr:row>86</xdr:row>
      <xdr:rowOff>296346</xdr:rowOff>
    </xdr:to>
    <xdr:pic>
      <xdr:nvPicPr>
        <xdr:cNvPr id="286" name="Graphic 285" descr="Home with solid fill">
          <a:extLst>
            <a:ext uri="{FF2B5EF4-FFF2-40B4-BE49-F238E27FC236}">
              <a16:creationId xmlns:a16="http://schemas.microsoft.com/office/drawing/2014/main" id="{0E164932-C3F5-4C0A-9DC0-E0C98FF235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5022" y="8493305"/>
          <a:ext cx="268744" cy="271632"/>
        </a:xfrm>
        <a:prstGeom prst="rect">
          <a:avLst/>
        </a:prstGeom>
      </xdr:spPr>
    </xdr:pic>
    <xdr:clientData/>
  </xdr:twoCellAnchor>
  <xdr:twoCellAnchor>
    <xdr:from>
      <xdr:col>3</xdr:col>
      <xdr:colOff>96210</xdr:colOff>
      <xdr:row>89</xdr:row>
      <xdr:rowOff>166722</xdr:rowOff>
    </xdr:from>
    <xdr:to>
      <xdr:col>3</xdr:col>
      <xdr:colOff>387566</xdr:colOff>
      <xdr:row>90</xdr:row>
      <xdr:rowOff>151621</xdr:rowOff>
    </xdr:to>
    <xdr:pic>
      <xdr:nvPicPr>
        <xdr:cNvPr id="291" name="Graphic 290" descr="Golf Flag In Hole with solid fill">
          <a:extLst>
            <a:ext uri="{FF2B5EF4-FFF2-40B4-BE49-F238E27FC236}">
              <a16:creationId xmlns:a16="http://schemas.microsoft.com/office/drawing/2014/main" id="{21B5D74A-E438-437E-B871-3F0BF920C1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04028" y="9570495"/>
          <a:ext cx="291356" cy="291356"/>
        </a:xfrm>
        <a:prstGeom prst="rect">
          <a:avLst/>
        </a:prstGeom>
      </xdr:spPr>
    </xdr:pic>
    <xdr:clientData/>
  </xdr:twoCellAnchor>
  <xdr:twoCellAnchor>
    <xdr:from>
      <xdr:col>3</xdr:col>
      <xdr:colOff>797204</xdr:colOff>
      <xdr:row>89</xdr:row>
      <xdr:rowOff>165735</xdr:rowOff>
    </xdr:from>
    <xdr:to>
      <xdr:col>3</xdr:col>
      <xdr:colOff>1065948</xdr:colOff>
      <xdr:row>90</xdr:row>
      <xdr:rowOff>130910</xdr:rowOff>
    </xdr:to>
    <xdr:pic>
      <xdr:nvPicPr>
        <xdr:cNvPr id="292" name="Graphic 291" descr="Home with solid fill">
          <a:extLst>
            <a:ext uri="{FF2B5EF4-FFF2-40B4-BE49-F238E27FC236}">
              <a16:creationId xmlns:a16="http://schemas.microsoft.com/office/drawing/2014/main" id="{96384B1A-E972-47E0-BC65-8ECC064374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5022" y="9569508"/>
          <a:ext cx="268744" cy="271632"/>
        </a:xfrm>
        <a:prstGeom prst="rect">
          <a:avLst/>
        </a:prstGeom>
      </xdr:spPr>
    </xdr:pic>
    <xdr:clientData/>
  </xdr:twoCellAnchor>
  <xdr:twoCellAnchor>
    <xdr:from>
      <xdr:col>3</xdr:col>
      <xdr:colOff>96210</xdr:colOff>
      <xdr:row>93</xdr:row>
      <xdr:rowOff>198886</xdr:rowOff>
    </xdr:from>
    <xdr:to>
      <xdr:col>3</xdr:col>
      <xdr:colOff>387566</xdr:colOff>
      <xdr:row>94</xdr:row>
      <xdr:rowOff>187683</xdr:rowOff>
    </xdr:to>
    <xdr:pic>
      <xdr:nvPicPr>
        <xdr:cNvPr id="295" name="Graphic 294" descr="Golf Flag In Hole with solid fill">
          <a:extLst>
            <a:ext uri="{FF2B5EF4-FFF2-40B4-BE49-F238E27FC236}">
              <a16:creationId xmlns:a16="http://schemas.microsoft.com/office/drawing/2014/main" id="{ACF30966-FFD0-4C4B-9B0C-68DD3DD7BA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1181" y="32124445"/>
          <a:ext cx="291356" cy="291356"/>
        </a:xfrm>
        <a:prstGeom prst="rect">
          <a:avLst/>
        </a:prstGeom>
      </xdr:spPr>
    </xdr:pic>
    <xdr:clientData/>
  </xdr:twoCellAnchor>
  <xdr:twoCellAnchor>
    <xdr:from>
      <xdr:col>3</xdr:col>
      <xdr:colOff>797204</xdr:colOff>
      <xdr:row>93</xdr:row>
      <xdr:rowOff>197899</xdr:rowOff>
    </xdr:from>
    <xdr:to>
      <xdr:col>3</xdr:col>
      <xdr:colOff>1065948</xdr:colOff>
      <xdr:row>94</xdr:row>
      <xdr:rowOff>166972</xdr:rowOff>
    </xdr:to>
    <xdr:pic>
      <xdr:nvPicPr>
        <xdr:cNvPr id="296" name="Graphic 295" descr="Home with solid fill">
          <a:extLst>
            <a:ext uri="{FF2B5EF4-FFF2-40B4-BE49-F238E27FC236}">
              <a16:creationId xmlns:a16="http://schemas.microsoft.com/office/drawing/2014/main" id="{05385652-93CF-4947-B806-0800FDDCD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22175" y="32123458"/>
          <a:ext cx="268744" cy="271632"/>
        </a:xfrm>
        <a:prstGeom prst="rect">
          <a:avLst/>
        </a:prstGeom>
      </xdr:spPr>
    </xdr:pic>
    <xdr:clientData/>
  </xdr:twoCellAnchor>
  <xdr:twoCellAnchor>
    <xdr:from>
      <xdr:col>3</xdr:col>
      <xdr:colOff>96210</xdr:colOff>
      <xdr:row>96</xdr:row>
      <xdr:rowOff>164248</xdr:rowOff>
    </xdr:from>
    <xdr:to>
      <xdr:col>3</xdr:col>
      <xdr:colOff>387566</xdr:colOff>
      <xdr:row>97</xdr:row>
      <xdr:rowOff>149148</xdr:rowOff>
    </xdr:to>
    <xdr:pic>
      <xdr:nvPicPr>
        <xdr:cNvPr id="299" name="Graphic 298" descr="Golf Flag In Hole with solid fill">
          <a:extLst>
            <a:ext uri="{FF2B5EF4-FFF2-40B4-BE49-F238E27FC236}">
              <a16:creationId xmlns:a16="http://schemas.microsoft.com/office/drawing/2014/main" id="{03CC6493-3405-4838-BADE-2030F380B8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72460" y="8900034"/>
          <a:ext cx="291356" cy="291356"/>
        </a:xfrm>
        <a:prstGeom prst="rect">
          <a:avLst/>
        </a:prstGeom>
      </xdr:spPr>
    </xdr:pic>
    <xdr:clientData/>
  </xdr:twoCellAnchor>
  <xdr:twoCellAnchor>
    <xdr:from>
      <xdr:col>3</xdr:col>
      <xdr:colOff>797204</xdr:colOff>
      <xdr:row>96</xdr:row>
      <xdr:rowOff>163261</xdr:rowOff>
    </xdr:from>
    <xdr:to>
      <xdr:col>3</xdr:col>
      <xdr:colOff>1065948</xdr:colOff>
      <xdr:row>97</xdr:row>
      <xdr:rowOff>128437</xdr:rowOff>
    </xdr:to>
    <xdr:pic>
      <xdr:nvPicPr>
        <xdr:cNvPr id="300" name="Graphic 299" descr="Home with solid fill">
          <a:extLst>
            <a:ext uri="{FF2B5EF4-FFF2-40B4-BE49-F238E27FC236}">
              <a16:creationId xmlns:a16="http://schemas.microsoft.com/office/drawing/2014/main" id="{B0007459-2112-4DB6-A4B4-8E409DF4C0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754" y="10097836"/>
          <a:ext cx="268744" cy="271632"/>
        </a:xfrm>
        <a:prstGeom prst="rect">
          <a:avLst/>
        </a:prstGeom>
      </xdr:spPr>
    </xdr:pic>
    <xdr:clientData/>
  </xdr:twoCellAnchor>
  <xdr:twoCellAnchor>
    <xdr:from>
      <xdr:col>3</xdr:col>
      <xdr:colOff>96210</xdr:colOff>
      <xdr:row>102</xdr:row>
      <xdr:rowOff>209072</xdr:rowOff>
    </xdr:from>
    <xdr:to>
      <xdr:col>3</xdr:col>
      <xdr:colOff>387566</xdr:colOff>
      <xdr:row>103</xdr:row>
      <xdr:rowOff>193972</xdr:rowOff>
    </xdr:to>
    <xdr:pic>
      <xdr:nvPicPr>
        <xdr:cNvPr id="317" name="Graphic 316" descr="Golf Flag In Hole with solid fill">
          <a:extLst>
            <a:ext uri="{FF2B5EF4-FFF2-40B4-BE49-F238E27FC236}">
              <a16:creationId xmlns:a16="http://schemas.microsoft.com/office/drawing/2014/main" id="{80A9FAAE-D1F4-4977-91B0-9FF11F03F5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1181" y="35160219"/>
          <a:ext cx="291356" cy="287459"/>
        </a:xfrm>
        <a:prstGeom prst="rect">
          <a:avLst/>
        </a:prstGeom>
      </xdr:spPr>
    </xdr:pic>
    <xdr:clientData/>
  </xdr:twoCellAnchor>
  <xdr:twoCellAnchor>
    <xdr:from>
      <xdr:col>3</xdr:col>
      <xdr:colOff>797204</xdr:colOff>
      <xdr:row>102</xdr:row>
      <xdr:rowOff>208085</xdr:rowOff>
    </xdr:from>
    <xdr:to>
      <xdr:col>3</xdr:col>
      <xdr:colOff>1065948</xdr:colOff>
      <xdr:row>103</xdr:row>
      <xdr:rowOff>173261</xdr:rowOff>
    </xdr:to>
    <xdr:pic>
      <xdr:nvPicPr>
        <xdr:cNvPr id="318" name="Graphic 317" descr="Home with solid fill">
          <a:extLst>
            <a:ext uri="{FF2B5EF4-FFF2-40B4-BE49-F238E27FC236}">
              <a16:creationId xmlns:a16="http://schemas.microsoft.com/office/drawing/2014/main" id="{DD3BCBAF-E94A-4F47-B6E9-699DB8689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22175" y="35159232"/>
          <a:ext cx="268744" cy="267735"/>
        </a:xfrm>
        <a:prstGeom prst="rect">
          <a:avLst/>
        </a:prstGeom>
      </xdr:spPr>
    </xdr:pic>
    <xdr:clientData/>
  </xdr:twoCellAnchor>
  <xdr:twoCellAnchor>
    <xdr:from>
      <xdr:col>3</xdr:col>
      <xdr:colOff>96210</xdr:colOff>
      <xdr:row>112</xdr:row>
      <xdr:rowOff>164249</xdr:rowOff>
    </xdr:from>
    <xdr:to>
      <xdr:col>3</xdr:col>
      <xdr:colOff>387566</xdr:colOff>
      <xdr:row>113</xdr:row>
      <xdr:rowOff>149148</xdr:rowOff>
    </xdr:to>
    <xdr:pic>
      <xdr:nvPicPr>
        <xdr:cNvPr id="321" name="Graphic 320" descr="Golf Flag In Hole with solid fill">
          <a:extLst>
            <a:ext uri="{FF2B5EF4-FFF2-40B4-BE49-F238E27FC236}">
              <a16:creationId xmlns:a16="http://schemas.microsoft.com/office/drawing/2014/main" id="{00937482-A0F9-4AB5-BE80-A2E425E5BD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72460" y="12492320"/>
          <a:ext cx="291356" cy="291356"/>
        </a:xfrm>
        <a:prstGeom prst="rect">
          <a:avLst/>
        </a:prstGeom>
      </xdr:spPr>
    </xdr:pic>
    <xdr:clientData/>
  </xdr:twoCellAnchor>
  <xdr:twoCellAnchor>
    <xdr:from>
      <xdr:col>3</xdr:col>
      <xdr:colOff>797204</xdr:colOff>
      <xdr:row>112</xdr:row>
      <xdr:rowOff>163262</xdr:rowOff>
    </xdr:from>
    <xdr:to>
      <xdr:col>3</xdr:col>
      <xdr:colOff>1065948</xdr:colOff>
      <xdr:row>113</xdr:row>
      <xdr:rowOff>128437</xdr:rowOff>
    </xdr:to>
    <xdr:pic>
      <xdr:nvPicPr>
        <xdr:cNvPr id="322" name="Graphic 321" descr="Home with solid fill">
          <a:extLst>
            <a:ext uri="{FF2B5EF4-FFF2-40B4-BE49-F238E27FC236}">
              <a16:creationId xmlns:a16="http://schemas.microsoft.com/office/drawing/2014/main" id="{437A5F91-AC45-4258-B565-B24E6C421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754" y="13183937"/>
          <a:ext cx="268744" cy="271632"/>
        </a:xfrm>
        <a:prstGeom prst="rect">
          <a:avLst/>
        </a:prstGeom>
      </xdr:spPr>
    </xdr:pic>
    <xdr:clientData/>
  </xdr:twoCellAnchor>
  <xdr:twoCellAnchor>
    <xdr:from>
      <xdr:col>3</xdr:col>
      <xdr:colOff>96210</xdr:colOff>
      <xdr:row>51</xdr:row>
      <xdr:rowOff>150641</xdr:rowOff>
    </xdr:from>
    <xdr:to>
      <xdr:col>3</xdr:col>
      <xdr:colOff>387566</xdr:colOff>
      <xdr:row>52</xdr:row>
      <xdr:rowOff>135541</xdr:rowOff>
    </xdr:to>
    <xdr:pic>
      <xdr:nvPicPr>
        <xdr:cNvPr id="325" name="Graphic 324" descr="Golf Flag In Hole with solid fill">
          <a:extLst>
            <a:ext uri="{FF2B5EF4-FFF2-40B4-BE49-F238E27FC236}">
              <a16:creationId xmlns:a16="http://schemas.microsoft.com/office/drawing/2014/main" id="{D7386AF0-EEE3-4707-A56F-5450072454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72460" y="13281534"/>
          <a:ext cx="291356" cy="291356"/>
        </a:xfrm>
        <a:prstGeom prst="rect">
          <a:avLst/>
        </a:prstGeom>
      </xdr:spPr>
    </xdr:pic>
    <xdr:clientData/>
  </xdr:twoCellAnchor>
  <xdr:twoCellAnchor>
    <xdr:from>
      <xdr:col>3</xdr:col>
      <xdr:colOff>798535</xdr:colOff>
      <xdr:row>49</xdr:row>
      <xdr:rowOff>150996</xdr:rowOff>
    </xdr:from>
    <xdr:to>
      <xdr:col>3</xdr:col>
      <xdr:colOff>1064618</xdr:colOff>
      <xdr:row>50</xdr:row>
      <xdr:rowOff>120582</xdr:rowOff>
    </xdr:to>
    <xdr:pic>
      <xdr:nvPicPr>
        <xdr:cNvPr id="328" name="Graphic 327" descr="Home with solid fill">
          <a:extLst>
            <a:ext uri="{FF2B5EF4-FFF2-40B4-BE49-F238E27FC236}">
              <a16:creationId xmlns:a16="http://schemas.microsoft.com/office/drawing/2014/main" id="{C3A87A14-9709-4D93-A2CD-ED55DB2EA2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25106" y="18262103"/>
          <a:ext cx="266083" cy="268943"/>
        </a:xfrm>
        <a:prstGeom prst="rect">
          <a:avLst/>
        </a:prstGeom>
      </xdr:spPr>
    </xdr:pic>
    <xdr:clientData/>
  </xdr:twoCellAnchor>
  <xdr:twoCellAnchor>
    <xdr:from>
      <xdr:col>3</xdr:col>
      <xdr:colOff>797204</xdr:colOff>
      <xdr:row>53</xdr:row>
      <xdr:rowOff>149654</xdr:rowOff>
    </xdr:from>
    <xdr:to>
      <xdr:col>3</xdr:col>
      <xdr:colOff>1065948</xdr:colOff>
      <xdr:row>54</xdr:row>
      <xdr:rowOff>114829</xdr:rowOff>
    </xdr:to>
    <xdr:pic>
      <xdr:nvPicPr>
        <xdr:cNvPr id="332" name="Graphic 331" descr="Home with solid fill">
          <a:extLst>
            <a:ext uri="{FF2B5EF4-FFF2-40B4-BE49-F238E27FC236}">
              <a16:creationId xmlns:a16="http://schemas.microsoft.com/office/drawing/2014/main" id="{0BD1105B-8757-4EBB-BEF3-FEFE072141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754" y="14903879"/>
          <a:ext cx="268744" cy="271632"/>
        </a:xfrm>
        <a:prstGeom prst="rect">
          <a:avLst/>
        </a:prstGeom>
      </xdr:spPr>
    </xdr:pic>
    <xdr:clientData/>
  </xdr:twoCellAnchor>
  <xdr:twoCellAnchor>
    <xdr:from>
      <xdr:col>3</xdr:col>
      <xdr:colOff>96210</xdr:colOff>
      <xdr:row>55</xdr:row>
      <xdr:rowOff>137031</xdr:rowOff>
    </xdr:from>
    <xdr:to>
      <xdr:col>3</xdr:col>
      <xdr:colOff>387566</xdr:colOff>
      <xdr:row>56</xdr:row>
      <xdr:rowOff>129030</xdr:rowOff>
    </xdr:to>
    <xdr:pic>
      <xdr:nvPicPr>
        <xdr:cNvPr id="333" name="Graphic 332" descr="Golf Flag In Hole with solid fill">
          <a:extLst>
            <a:ext uri="{FF2B5EF4-FFF2-40B4-BE49-F238E27FC236}">
              <a16:creationId xmlns:a16="http://schemas.microsoft.com/office/drawing/2014/main" id="{AB9BB216-3CFC-40E7-AB63-B47DCAD85D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2781" y="19445567"/>
          <a:ext cx="291356" cy="291356"/>
        </a:xfrm>
        <a:prstGeom prst="rect">
          <a:avLst/>
        </a:prstGeom>
      </xdr:spPr>
    </xdr:pic>
    <xdr:clientData/>
  </xdr:twoCellAnchor>
  <xdr:twoCellAnchor>
    <xdr:from>
      <xdr:col>3</xdr:col>
      <xdr:colOff>797204</xdr:colOff>
      <xdr:row>55</xdr:row>
      <xdr:rowOff>136044</xdr:rowOff>
    </xdr:from>
    <xdr:to>
      <xdr:col>3</xdr:col>
      <xdr:colOff>1065948</xdr:colOff>
      <xdr:row>56</xdr:row>
      <xdr:rowOff>108319</xdr:rowOff>
    </xdr:to>
    <xdr:pic>
      <xdr:nvPicPr>
        <xdr:cNvPr id="334" name="Graphic 333" descr="Home with solid fill">
          <a:extLst>
            <a:ext uri="{FF2B5EF4-FFF2-40B4-BE49-F238E27FC236}">
              <a16:creationId xmlns:a16="http://schemas.microsoft.com/office/drawing/2014/main" id="{7CBB6152-F402-4A23-A9D6-F0898A193B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23775" y="19444580"/>
          <a:ext cx="268744" cy="271632"/>
        </a:xfrm>
        <a:prstGeom prst="rect">
          <a:avLst/>
        </a:prstGeom>
      </xdr:spPr>
    </xdr:pic>
    <xdr:clientData/>
  </xdr:twoCellAnchor>
  <xdr:twoCellAnchor>
    <xdr:from>
      <xdr:col>3</xdr:col>
      <xdr:colOff>96210</xdr:colOff>
      <xdr:row>57</xdr:row>
      <xdr:rowOff>137031</xdr:rowOff>
    </xdr:from>
    <xdr:to>
      <xdr:col>3</xdr:col>
      <xdr:colOff>387566</xdr:colOff>
      <xdr:row>58</xdr:row>
      <xdr:rowOff>129030</xdr:rowOff>
    </xdr:to>
    <xdr:pic>
      <xdr:nvPicPr>
        <xdr:cNvPr id="335" name="Graphic 334" descr="Golf Flag In Hole with solid fill">
          <a:extLst>
            <a:ext uri="{FF2B5EF4-FFF2-40B4-BE49-F238E27FC236}">
              <a16:creationId xmlns:a16="http://schemas.microsoft.com/office/drawing/2014/main" id="{B323441D-EC0C-4D77-BE38-BF8240C55F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2781" y="20044281"/>
          <a:ext cx="291356" cy="291356"/>
        </a:xfrm>
        <a:prstGeom prst="rect">
          <a:avLst/>
        </a:prstGeom>
      </xdr:spPr>
    </xdr:pic>
    <xdr:clientData/>
  </xdr:twoCellAnchor>
  <xdr:twoCellAnchor>
    <xdr:from>
      <xdr:col>3</xdr:col>
      <xdr:colOff>806729</xdr:colOff>
      <xdr:row>57</xdr:row>
      <xdr:rowOff>136044</xdr:rowOff>
    </xdr:from>
    <xdr:to>
      <xdr:col>3</xdr:col>
      <xdr:colOff>1075473</xdr:colOff>
      <xdr:row>58</xdr:row>
      <xdr:rowOff>108319</xdr:rowOff>
    </xdr:to>
    <xdr:pic>
      <xdr:nvPicPr>
        <xdr:cNvPr id="336" name="Graphic 335" descr="Home with solid fill">
          <a:extLst>
            <a:ext uri="{FF2B5EF4-FFF2-40B4-BE49-F238E27FC236}">
              <a16:creationId xmlns:a16="http://schemas.microsoft.com/office/drawing/2014/main" id="{A0646C9D-E8D5-401B-B670-1850264D0E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33300" y="20043294"/>
          <a:ext cx="268744" cy="271632"/>
        </a:xfrm>
        <a:prstGeom prst="rect">
          <a:avLst/>
        </a:prstGeom>
      </xdr:spPr>
    </xdr:pic>
    <xdr:clientData/>
  </xdr:twoCellAnchor>
  <xdr:twoCellAnchor>
    <xdr:from>
      <xdr:col>3</xdr:col>
      <xdr:colOff>96210</xdr:colOff>
      <xdr:row>32</xdr:row>
      <xdr:rowOff>14568</xdr:rowOff>
    </xdr:from>
    <xdr:to>
      <xdr:col>3</xdr:col>
      <xdr:colOff>387566</xdr:colOff>
      <xdr:row>32</xdr:row>
      <xdr:rowOff>305924</xdr:rowOff>
    </xdr:to>
    <xdr:pic>
      <xdr:nvPicPr>
        <xdr:cNvPr id="348" name="Graphic 347" descr="Golf Flag In Hole with solid fill">
          <a:extLst>
            <a:ext uri="{FF2B5EF4-FFF2-40B4-BE49-F238E27FC236}">
              <a16:creationId xmlns:a16="http://schemas.microsoft.com/office/drawing/2014/main" id="{CE6834F7-9B3C-4DF4-A819-E9A96B167F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336085" y="20457599"/>
          <a:ext cx="291356" cy="291356"/>
        </a:xfrm>
        <a:prstGeom prst="rect">
          <a:avLst/>
        </a:prstGeom>
      </xdr:spPr>
    </xdr:pic>
    <xdr:clientData/>
  </xdr:twoCellAnchor>
  <xdr:twoCellAnchor>
    <xdr:from>
      <xdr:col>3</xdr:col>
      <xdr:colOff>797204</xdr:colOff>
      <xdr:row>32</xdr:row>
      <xdr:rowOff>13581</xdr:rowOff>
    </xdr:from>
    <xdr:to>
      <xdr:col>3</xdr:col>
      <xdr:colOff>1065948</xdr:colOff>
      <xdr:row>32</xdr:row>
      <xdr:rowOff>285213</xdr:rowOff>
    </xdr:to>
    <xdr:pic>
      <xdr:nvPicPr>
        <xdr:cNvPr id="350" name="Graphic 349" descr="Home with solid fill">
          <a:extLst>
            <a:ext uri="{FF2B5EF4-FFF2-40B4-BE49-F238E27FC236}">
              <a16:creationId xmlns:a16="http://schemas.microsoft.com/office/drawing/2014/main" id="{E188F854-0B1E-4CC9-B84D-73609CDE5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754" y="21987756"/>
          <a:ext cx="268744" cy="271632"/>
        </a:xfrm>
        <a:prstGeom prst="rect">
          <a:avLst/>
        </a:prstGeom>
      </xdr:spPr>
    </xdr:pic>
    <xdr:clientData/>
  </xdr:twoCellAnchor>
  <xdr:twoCellAnchor>
    <xdr:from>
      <xdr:col>3</xdr:col>
      <xdr:colOff>96210</xdr:colOff>
      <xdr:row>35</xdr:row>
      <xdr:rowOff>260082</xdr:rowOff>
    </xdr:from>
    <xdr:to>
      <xdr:col>3</xdr:col>
      <xdr:colOff>387566</xdr:colOff>
      <xdr:row>36</xdr:row>
      <xdr:rowOff>120742</xdr:rowOff>
    </xdr:to>
    <xdr:pic>
      <xdr:nvPicPr>
        <xdr:cNvPr id="360" name="Graphic 359" descr="Golf Flag In Hole with solid fill">
          <a:extLst>
            <a:ext uri="{FF2B5EF4-FFF2-40B4-BE49-F238E27FC236}">
              <a16:creationId xmlns:a16="http://schemas.microsoft.com/office/drawing/2014/main" id="{6AAFDDE7-66E9-48D1-AEB0-83B16DB7D2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09122" y="24588053"/>
          <a:ext cx="291356" cy="286483"/>
        </a:xfrm>
        <a:prstGeom prst="rect">
          <a:avLst/>
        </a:prstGeom>
      </xdr:spPr>
    </xdr:pic>
    <xdr:clientData/>
  </xdr:twoCellAnchor>
  <xdr:twoCellAnchor>
    <xdr:from>
      <xdr:col>3</xdr:col>
      <xdr:colOff>797204</xdr:colOff>
      <xdr:row>35</xdr:row>
      <xdr:rowOff>259095</xdr:rowOff>
    </xdr:from>
    <xdr:to>
      <xdr:col>3</xdr:col>
      <xdr:colOff>1065948</xdr:colOff>
      <xdr:row>36</xdr:row>
      <xdr:rowOff>100031</xdr:rowOff>
    </xdr:to>
    <xdr:pic>
      <xdr:nvPicPr>
        <xdr:cNvPr id="362" name="Graphic 361" descr="Home with solid fill">
          <a:extLst>
            <a:ext uri="{FF2B5EF4-FFF2-40B4-BE49-F238E27FC236}">
              <a16:creationId xmlns:a16="http://schemas.microsoft.com/office/drawing/2014/main" id="{14FBDDA9-5BFD-4480-80CE-951ADD96A9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0116" y="24587066"/>
          <a:ext cx="268744" cy="266759"/>
        </a:xfrm>
        <a:prstGeom prst="rect">
          <a:avLst/>
        </a:prstGeom>
      </xdr:spPr>
    </xdr:pic>
    <xdr:clientData/>
  </xdr:twoCellAnchor>
  <xdr:twoCellAnchor>
    <xdr:from>
      <xdr:col>3</xdr:col>
      <xdr:colOff>96210</xdr:colOff>
      <xdr:row>38</xdr:row>
      <xdr:rowOff>14568</xdr:rowOff>
    </xdr:from>
    <xdr:to>
      <xdr:col>3</xdr:col>
      <xdr:colOff>387566</xdr:colOff>
      <xdr:row>38</xdr:row>
      <xdr:rowOff>305924</xdr:rowOff>
    </xdr:to>
    <xdr:pic>
      <xdr:nvPicPr>
        <xdr:cNvPr id="368" name="Graphic 367" descr="Golf Flag In Hole with solid fill">
          <a:extLst>
            <a:ext uri="{FF2B5EF4-FFF2-40B4-BE49-F238E27FC236}">
              <a16:creationId xmlns:a16="http://schemas.microsoft.com/office/drawing/2014/main" id="{74CE50A1-8154-4939-941B-8EBCD87E80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336085" y="22624537"/>
          <a:ext cx="291356" cy="291356"/>
        </a:xfrm>
        <a:prstGeom prst="rect">
          <a:avLst/>
        </a:prstGeom>
      </xdr:spPr>
    </xdr:pic>
    <xdr:clientData/>
  </xdr:twoCellAnchor>
  <xdr:twoCellAnchor>
    <xdr:from>
      <xdr:col>3</xdr:col>
      <xdr:colOff>797204</xdr:colOff>
      <xdr:row>38</xdr:row>
      <xdr:rowOff>13581</xdr:rowOff>
    </xdr:from>
    <xdr:to>
      <xdr:col>3</xdr:col>
      <xdr:colOff>1065948</xdr:colOff>
      <xdr:row>38</xdr:row>
      <xdr:rowOff>285213</xdr:rowOff>
    </xdr:to>
    <xdr:pic>
      <xdr:nvPicPr>
        <xdr:cNvPr id="370" name="Graphic 369" descr="Home with solid fill">
          <a:extLst>
            <a:ext uri="{FF2B5EF4-FFF2-40B4-BE49-F238E27FC236}">
              <a16:creationId xmlns:a16="http://schemas.microsoft.com/office/drawing/2014/main" id="{79D065CF-81FC-45CA-AFCF-58E378F8E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754" y="24683331"/>
          <a:ext cx="268744" cy="271632"/>
        </a:xfrm>
        <a:prstGeom prst="rect">
          <a:avLst/>
        </a:prstGeom>
      </xdr:spPr>
    </xdr:pic>
    <xdr:clientData/>
  </xdr:twoCellAnchor>
  <xdr:twoCellAnchor>
    <xdr:from>
      <xdr:col>3</xdr:col>
      <xdr:colOff>96210</xdr:colOff>
      <xdr:row>45</xdr:row>
      <xdr:rowOff>97720</xdr:rowOff>
    </xdr:from>
    <xdr:to>
      <xdr:col>3</xdr:col>
      <xdr:colOff>387566</xdr:colOff>
      <xdr:row>46</xdr:row>
      <xdr:rowOff>82619</xdr:rowOff>
    </xdr:to>
    <xdr:pic>
      <xdr:nvPicPr>
        <xdr:cNvPr id="376" name="Graphic 375" descr="Golf Flag In Hole with solid fill">
          <a:extLst>
            <a:ext uri="{FF2B5EF4-FFF2-40B4-BE49-F238E27FC236}">
              <a16:creationId xmlns:a16="http://schemas.microsoft.com/office/drawing/2014/main" id="{4DDFF67E-5130-4A28-814C-FC9F11B74C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2781" y="33503256"/>
          <a:ext cx="291356" cy="284256"/>
        </a:xfrm>
        <a:prstGeom prst="rect">
          <a:avLst/>
        </a:prstGeom>
      </xdr:spPr>
    </xdr:pic>
    <xdr:clientData/>
  </xdr:twoCellAnchor>
  <xdr:twoCellAnchor>
    <xdr:from>
      <xdr:col>3</xdr:col>
      <xdr:colOff>96210</xdr:colOff>
      <xdr:row>20</xdr:row>
      <xdr:rowOff>960</xdr:rowOff>
    </xdr:from>
    <xdr:to>
      <xdr:col>3</xdr:col>
      <xdr:colOff>387566</xdr:colOff>
      <xdr:row>20</xdr:row>
      <xdr:rowOff>285218</xdr:rowOff>
    </xdr:to>
    <xdr:pic>
      <xdr:nvPicPr>
        <xdr:cNvPr id="490" name="Graphic 489" descr="Golf Flag In Hole with solid fill">
          <a:extLst>
            <a:ext uri="{FF2B5EF4-FFF2-40B4-BE49-F238E27FC236}">
              <a16:creationId xmlns:a16="http://schemas.microsoft.com/office/drawing/2014/main" id="{982CFB79-C4F9-4506-9698-BC1F649743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2781" y="34059639"/>
          <a:ext cx="291356" cy="284258"/>
        </a:xfrm>
        <a:prstGeom prst="rect">
          <a:avLst/>
        </a:prstGeom>
      </xdr:spPr>
    </xdr:pic>
    <xdr:clientData/>
  </xdr:twoCellAnchor>
  <xdr:twoCellAnchor>
    <xdr:from>
      <xdr:col>3</xdr:col>
      <xdr:colOff>797204</xdr:colOff>
      <xdr:row>19</xdr:row>
      <xdr:rowOff>299331</xdr:rowOff>
    </xdr:from>
    <xdr:to>
      <xdr:col>3</xdr:col>
      <xdr:colOff>1065948</xdr:colOff>
      <xdr:row>20</xdr:row>
      <xdr:rowOff>264507</xdr:rowOff>
    </xdr:to>
    <xdr:pic>
      <xdr:nvPicPr>
        <xdr:cNvPr id="491" name="Graphic 490" descr="Home with solid fill">
          <a:extLst>
            <a:ext uri="{FF2B5EF4-FFF2-40B4-BE49-F238E27FC236}">
              <a16:creationId xmlns:a16="http://schemas.microsoft.com/office/drawing/2014/main" id="{CB691A03-317E-447B-8AD7-9D279BA11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23775" y="34058652"/>
          <a:ext cx="268744" cy="264534"/>
        </a:xfrm>
        <a:prstGeom prst="rect">
          <a:avLst/>
        </a:prstGeom>
      </xdr:spPr>
    </xdr:pic>
    <xdr:clientData/>
  </xdr:twoCellAnchor>
  <xdr:twoCellAnchor>
    <xdr:from>
      <xdr:col>3</xdr:col>
      <xdr:colOff>95249</xdr:colOff>
      <xdr:row>59</xdr:row>
      <xdr:rowOff>0</xdr:rowOff>
    </xdr:from>
    <xdr:to>
      <xdr:col>3</xdr:col>
      <xdr:colOff>386605</xdr:colOff>
      <xdr:row>59</xdr:row>
      <xdr:rowOff>291356</xdr:rowOff>
    </xdr:to>
    <xdr:pic>
      <xdr:nvPicPr>
        <xdr:cNvPr id="493" name="Graphic 492" descr="Golf Flag In Hole with solid fill">
          <a:extLst>
            <a:ext uri="{FF2B5EF4-FFF2-40B4-BE49-F238E27FC236}">
              <a16:creationId xmlns:a16="http://schemas.microsoft.com/office/drawing/2014/main" id="{80CD6A96-C475-4C1A-B571-52C6322576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71499" y="15008679"/>
          <a:ext cx="291356" cy="291356"/>
        </a:xfrm>
        <a:prstGeom prst="rect">
          <a:avLst/>
        </a:prstGeom>
      </xdr:spPr>
    </xdr:pic>
    <xdr:clientData/>
  </xdr:twoCellAnchor>
  <xdr:twoCellAnchor>
    <xdr:from>
      <xdr:col>3</xdr:col>
      <xdr:colOff>96210</xdr:colOff>
      <xdr:row>99</xdr:row>
      <xdr:rowOff>141910</xdr:rowOff>
    </xdr:from>
    <xdr:to>
      <xdr:col>3</xdr:col>
      <xdr:colOff>387566</xdr:colOff>
      <xdr:row>100</xdr:row>
      <xdr:rowOff>130707</xdr:rowOff>
    </xdr:to>
    <xdr:pic>
      <xdr:nvPicPr>
        <xdr:cNvPr id="495" name="Graphic 494" descr="Golf Flag In Hole with solid fill">
          <a:extLst>
            <a:ext uri="{FF2B5EF4-FFF2-40B4-BE49-F238E27FC236}">
              <a16:creationId xmlns:a16="http://schemas.microsoft.com/office/drawing/2014/main" id="{F0C8658A-0F7E-4091-A0BF-F9E3976953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21346" y="33167683"/>
          <a:ext cx="291356" cy="300524"/>
        </a:xfrm>
        <a:prstGeom prst="rect">
          <a:avLst/>
        </a:prstGeom>
      </xdr:spPr>
    </xdr:pic>
    <xdr:clientData/>
  </xdr:twoCellAnchor>
  <xdr:twoCellAnchor>
    <xdr:from>
      <xdr:col>3</xdr:col>
      <xdr:colOff>797204</xdr:colOff>
      <xdr:row>99</xdr:row>
      <xdr:rowOff>140923</xdr:rowOff>
    </xdr:from>
    <xdr:to>
      <xdr:col>3</xdr:col>
      <xdr:colOff>1065948</xdr:colOff>
      <xdr:row>100</xdr:row>
      <xdr:rowOff>109996</xdr:rowOff>
    </xdr:to>
    <xdr:pic>
      <xdr:nvPicPr>
        <xdr:cNvPr id="496" name="Graphic 495" descr="Home with solid fill">
          <a:extLst>
            <a:ext uri="{FF2B5EF4-FFF2-40B4-BE49-F238E27FC236}">
              <a16:creationId xmlns:a16="http://schemas.microsoft.com/office/drawing/2014/main" id="{A8FA998C-C71C-4651-9846-E91C54C29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2340" y="33166696"/>
          <a:ext cx="268744" cy="280800"/>
        </a:xfrm>
        <a:prstGeom prst="rect">
          <a:avLst/>
        </a:prstGeom>
      </xdr:spPr>
    </xdr:pic>
    <xdr:clientData/>
  </xdr:twoCellAnchor>
  <xdr:twoCellAnchor>
    <xdr:from>
      <xdr:col>3</xdr:col>
      <xdr:colOff>797374</xdr:colOff>
      <xdr:row>60</xdr:row>
      <xdr:rowOff>27214</xdr:rowOff>
    </xdr:from>
    <xdr:to>
      <xdr:col>3</xdr:col>
      <xdr:colOff>1066118</xdr:colOff>
      <xdr:row>60</xdr:row>
      <xdr:rowOff>298846</xdr:rowOff>
    </xdr:to>
    <xdr:pic>
      <xdr:nvPicPr>
        <xdr:cNvPr id="516" name="Graphic 515" descr="Home with solid fill">
          <a:extLst>
            <a:ext uri="{FF2B5EF4-FFF2-40B4-BE49-F238E27FC236}">
              <a16:creationId xmlns:a16="http://schemas.microsoft.com/office/drawing/2014/main" id="{BA893FF8-BE79-4F06-9597-00E837051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924" y="16610239"/>
          <a:ext cx="268744" cy="271632"/>
        </a:xfrm>
        <a:prstGeom prst="rect">
          <a:avLst/>
        </a:prstGeom>
      </xdr:spPr>
    </xdr:pic>
    <xdr:clientData/>
  </xdr:twoCellAnchor>
  <xdr:twoCellAnchor>
    <xdr:from>
      <xdr:col>3</xdr:col>
      <xdr:colOff>797374</xdr:colOff>
      <xdr:row>59</xdr:row>
      <xdr:rowOff>13607</xdr:rowOff>
    </xdr:from>
    <xdr:to>
      <xdr:col>3</xdr:col>
      <xdr:colOff>1066118</xdr:colOff>
      <xdr:row>59</xdr:row>
      <xdr:rowOff>285239</xdr:rowOff>
    </xdr:to>
    <xdr:pic>
      <xdr:nvPicPr>
        <xdr:cNvPr id="518" name="Graphic 517" descr="Home with solid fill">
          <a:extLst>
            <a:ext uri="{FF2B5EF4-FFF2-40B4-BE49-F238E27FC236}">
              <a16:creationId xmlns:a16="http://schemas.microsoft.com/office/drawing/2014/main" id="{5ED5329A-D894-48F4-9800-611852A79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924" y="16291832"/>
          <a:ext cx="268744" cy="271632"/>
        </a:xfrm>
        <a:prstGeom prst="rect">
          <a:avLst/>
        </a:prstGeom>
      </xdr:spPr>
    </xdr:pic>
    <xdr:clientData/>
  </xdr:twoCellAnchor>
  <xdr:twoCellAnchor>
    <xdr:from>
      <xdr:col>3</xdr:col>
      <xdr:colOff>783767</xdr:colOff>
      <xdr:row>66</xdr:row>
      <xdr:rowOff>283382</xdr:rowOff>
    </xdr:from>
    <xdr:to>
      <xdr:col>3</xdr:col>
      <xdr:colOff>1052511</xdr:colOff>
      <xdr:row>67</xdr:row>
      <xdr:rowOff>255656</xdr:rowOff>
    </xdr:to>
    <xdr:pic>
      <xdr:nvPicPr>
        <xdr:cNvPr id="520" name="Graphic 519" descr="Home with solid fill">
          <a:extLst>
            <a:ext uri="{FF2B5EF4-FFF2-40B4-BE49-F238E27FC236}">
              <a16:creationId xmlns:a16="http://schemas.microsoft.com/office/drawing/2014/main" id="{A8E90B8C-4292-4151-B1FB-F6DBA0430E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06789" y="25719273"/>
          <a:ext cx="268744" cy="278731"/>
        </a:xfrm>
        <a:prstGeom prst="rect">
          <a:avLst/>
        </a:prstGeom>
      </xdr:spPr>
    </xdr:pic>
    <xdr:clientData/>
  </xdr:twoCellAnchor>
  <xdr:twoCellAnchor>
    <xdr:from>
      <xdr:col>3</xdr:col>
      <xdr:colOff>783767</xdr:colOff>
      <xdr:row>68</xdr:row>
      <xdr:rowOff>180226</xdr:rowOff>
    </xdr:from>
    <xdr:to>
      <xdr:col>3</xdr:col>
      <xdr:colOff>1052511</xdr:colOff>
      <xdr:row>69</xdr:row>
      <xdr:rowOff>142555</xdr:rowOff>
    </xdr:to>
    <xdr:pic>
      <xdr:nvPicPr>
        <xdr:cNvPr id="522" name="Graphic 521" descr="Home with solid fill">
          <a:extLst>
            <a:ext uri="{FF2B5EF4-FFF2-40B4-BE49-F238E27FC236}">
              <a16:creationId xmlns:a16="http://schemas.microsoft.com/office/drawing/2014/main" id="{7AC9B079-7488-4635-B038-1641FAAA7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8903" y="23646362"/>
          <a:ext cx="268744" cy="274057"/>
        </a:xfrm>
        <a:prstGeom prst="rect">
          <a:avLst/>
        </a:prstGeom>
      </xdr:spPr>
    </xdr:pic>
    <xdr:clientData/>
  </xdr:twoCellAnchor>
  <xdr:twoCellAnchor>
    <xdr:from>
      <xdr:col>3</xdr:col>
      <xdr:colOff>797374</xdr:colOff>
      <xdr:row>33</xdr:row>
      <xdr:rowOff>0</xdr:rowOff>
    </xdr:from>
    <xdr:to>
      <xdr:col>3</xdr:col>
      <xdr:colOff>1066118</xdr:colOff>
      <xdr:row>33</xdr:row>
      <xdr:rowOff>271632</xdr:rowOff>
    </xdr:to>
    <xdr:pic>
      <xdr:nvPicPr>
        <xdr:cNvPr id="531" name="Graphic 530" descr="Home with solid fill">
          <a:extLst>
            <a:ext uri="{FF2B5EF4-FFF2-40B4-BE49-F238E27FC236}">
              <a16:creationId xmlns:a16="http://schemas.microsoft.com/office/drawing/2014/main" id="{4980DB3E-9EBD-4C18-B90A-6F75C01A6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924" y="22278975"/>
          <a:ext cx="268744" cy="271632"/>
        </a:xfrm>
        <a:prstGeom prst="rect">
          <a:avLst/>
        </a:prstGeom>
      </xdr:spPr>
    </xdr:pic>
    <xdr:clientData/>
  </xdr:twoCellAnchor>
  <xdr:twoCellAnchor>
    <xdr:from>
      <xdr:col>3</xdr:col>
      <xdr:colOff>797374</xdr:colOff>
      <xdr:row>77</xdr:row>
      <xdr:rowOff>0</xdr:rowOff>
    </xdr:from>
    <xdr:to>
      <xdr:col>3</xdr:col>
      <xdr:colOff>1066118</xdr:colOff>
      <xdr:row>77</xdr:row>
      <xdr:rowOff>271632</xdr:rowOff>
    </xdr:to>
    <xdr:pic>
      <xdr:nvPicPr>
        <xdr:cNvPr id="550" name="Graphic 549" descr="Home with solid fill">
          <a:extLst>
            <a:ext uri="{FF2B5EF4-FFF2-40B4-BE49-F238E27FC236}">
              <a16:creationId xmlns:a16="http://schemas.microsoft.com/office/drawing/2014/main" id="{4FDA0C0C-8F79-4A44-9E8B-ADA98C546A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924" y="5972175"/>
          <a:ext cx="268744" cy="271632"/>
        </a:xfrm>
        <a:prstGeom prst="rect">
          <a:avLst/>
        </a:prstGeom>
      </xdr:spPr>
    </xdr:pic>
    <xdr:clientData/>
  </xdr:twoCellAnchor>
  <xdr:twoCellAnchor>
    <xdr:from>
      <xdr:col>3</xdr:col>
      <xdr:colOff>797374</xdr:colOff>
      <xdr:row>51</xdr:row>
      <xdr:rowOff>188027</xdr:rowOff>
    </xdr:from>
    <xdr:to>
      <xdr:col>3</xdr:col>
      <xdr:colOff>1063457</xdr:colOff>
      <xdr:row>52</xdr:row>
      <xdr:rowOff>150514</xdr:rowOff>
    </xdr:to>
    <xdr:pic>
      <xdr:nvPicPr>
        <xdr:cNvPr id="552" name="Graphic 551" descr="Home with solid fill">
          <a:extLst>
            <a:ext uri="{FF2B5EF4-FFF2-40B4-BE49-F238E27FC236}">
              <a16:creationId xmlns:a16="http://schemas.microsoft.com/office/drawing/2014/main" id="{CC064EBD-13C6-40DA-B926-C5C2D49D02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924" y="14027852"/>
          <a:ext cx="266083" cy="268943"/>
        </a:xfrm>
        <a:prstGeom prst="rect">
          <a:avLst/>
        </a:prstGeom>
      </xdr:spPr>
    </xdr:pic>
    <xdr:clientData/>
  </xdr:twoCellAnchor>
  <xdr:twoCellAnchor>
    <xdr:from>
      <xdr:col>3</xdr:col>
      <xdr:colOff>96210</xdr:colOff>
      <xdr:row>80</xdr:row>
      <xdr:rowOff>14568</xdr:rowOff>
    </xdr:from>
    <xdr:to>
      <xdr:col>3</xdr:col>
      <xdr:colOff>387566</xdr:colOff>
      <xdr:row>81</xdr:row>
      <xdr:rowOff>2668</xdr:rowOff>
    </xdr:to>
    <xdr:pic>
      <xdr:nvPicPr>
        <xdr:cNvPr id="158" name="Graphic 157" descr="Golf Flag In Hole with solid fill">
          <a:extLst>
            <a:ext uri="{FF2B5EF4-FFF2-40B4-BE49-F238E27FC236}">
              <a16:creationId xmlns:a16="http://schemas.microsoft.com/office/drawing/2014/main" id="{6E83BFD8-B8C2-4344-B2C2-B0D27A6C07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72460" y="5158068"/>
          <a:ext cx="291356" cy="294557"/>
        </a:xfrm>
        <a:prstGeom prst="rect">
          <a:avLst/>
        </a:prstGeom>
      </xdr:spPr>
    </xdr:pic>
    <xdr:clientData/>
  </xdr:twoCellAnchor>
  <xdr:twoCellAnchor>
    <xdr:from>
      <xdr:col>3</xdr:col>
      <xdr:colOff>96210</xdr:colOff>
      <xdr:row>82</xdr:row>
      <xdr:rowOff>137031</xdr:rowOff>
    </xdr:from>
    <xdr:to>
      <xdr:col>3</xdr:col>
      <xdr:colOff>387566</xdr:colOff>
      <xdr:row>83</xdr:row>
      <xdr:rowOff>129030</xdr:rowOff>
    </xdr:to>
    <xdr:pic>
      <xdr:nvPicPr>
        <xdr:cNvPr id="159" name="Graphic 158" descr="Golf Flag In Hole with solid fill">
          <a:extLst>
            <a:ext uri="{FF2B5EF4-FFF2-40B4-BE49-F238E27FC236}">
              <a16:creationId xmlns:a16="http://schemas.microsoft.com/office/drawing/2014/main" id="{B6E17F80-753F-4F3D-A238-78FAFDA1B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2781" y="7729817"/>
          <a:ext cx="291356" cy="291356"/>
        </a:xfrm>
        <a:prstGeom prst="rect">
          <a:avLst/>
        </a:prstGeom>
      </xdr:spPr>
    </xdr:pic>
    <xdr:clientData/>
  </xdr:twoCellAnchor>
  <xdr:twoCellAnchor>
    <xdr:from>
      <xdr:col>3</xdr:col>
      <xdr:colOff>797204</xdr:colOff>
      <xdr:row>82</xdr:row>
      <xdr:rowOff>136044</xdr:rowOff>
    </xdr:from>
    <xdr:to>
      <xdr:col>3</xdr:col>
      <xdr:colOff>1065948</xdr:colOff>
      <xdr:row>83</xdr:row>
      <xdr:rowOff>108319</xdr:rowOff>
    </xdr:to>
    <xdr:pic>
      <xdr:nvPicPr>
        <xdr:cNvPr id="160" name="Graphic 159" descr="Home with solid fill">
          <a:extLst>
            <a:ext uri="{FF2B5EF4-FFF2-40B4-BE49-F238E27FC236}">
              <a16:creationId xmlns:a16="http://schemas.microsoft.com/office/drawing/2014/main" id="{D28CF853-4711-48C4-ADFB-535804B06F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23775" y="7728830"/>
          <a:ext cx="268744" cy="271632"/>
        </a:xfrm>
        <a:prstGeom prst="rect">
          <a:avLst/>
        </a:prstGeom>
      </xdr:spPr>
    </xdr:pic>
    <xdr:clientData/>
  </xdr:twoCellAnchor>
  <xdr:twoCellAnchor editAs="oneCell">
    <xdr:from>
      <xdr:col>3</xdr:col>
      <xdr:colOff>1072000</xdr:colOff>
      <xdr:row>5</xdr:row>
      <xdr:rowOff>68040</xdr:rowOff>
    </xdr:from>
    <xdr:to>
      <xdr:col>3</xdr:col>
      <xdr:colOff>1416969</xdr:colOff>
      <xdr:row>5</xdr:row>
      <xdr:rowOff>308396</xdr:rowOff>
    </xdr:to>
    <xdr:pic>
      <xdr:nvPicPr>
        <xdr:cNvPr id="5" name="Graphic 4" descr="Soccer Goal with solid fill">
          <a:extLst>
            <a:ext uri="{FF2B5EF4-FFF2-40B4-BE49-F238E27FC236}">
              <a16:creationId xmlns:a16="http://schemas.microsoft.com/office/drawing/2014/main" id="{A9DD4C96-514D-4549-A738-40561E550FD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1300600" y="2865669"/>
          <a:ext cx="344969" cy="240356"/>
        </a:xfrm>
        <a:prstGeom prst="rect">
          <a:avLst/>
        </a:prstGeom>
      </xdr:spPr>
    </xdr:pic>
    <xdr:clientData/>
  </xdr:twoCellAnchor>
  <xdr:twoCellAnchor>
    <xdr:from>
      <xdr:col>3</xdr:col>
      <xdr:colOff>428625</xdr:colOff>
      <xdr:row>78</xdr:row>
      <xdr:rowOff>223556</xdr:rowOff>
    </xdr:from>
    <xdr:to>
      <xdr:col>3</xdr:col>
      <xdr:colOff>773594</xdr:colOff>
      <xdr:row>79</xdr:row>
      <xdr:rowOff>159111</xdr:rowOff>
    </xdr:to>
    <xdr:pic>
      <xdr:nvPicPr>
        <xdr:cNvPr id="17" name="Graphic 16" descr="Soccer Goal with solid fill">
          <a:extLst>
            <a:ext uri="{FF2B5EF4-FFF2-40B4-BE49-F238E27FC236}">
              <a16:creationId xmlns:a16="http://schemas.microsoft.com/office/drawing/2014/main" id="{D17550A9-0C1E-4B75-BC76-E313D5173C8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53596" y="6633321"/>
          <a:ext cx="344969" cy="238114"/>
        </a:xfrm>
        <a:prstGeom prst="rect">
          <a:avLst/>
        </a:prstGeom>
      </xdr:spPr>
    </xdr:pic>
    <xdr:clientData/>
  </xdr:twoCellAnchor>
  <xdr:twoCellAnchor>
    <xdr:from>
      <xdr:col>3</xdr:col>
      <xdr:colOff>416719</xdr:colOff>
      <xdr:row>82</xdr:row>
      <xdr:rowOff>199857</xdr:rowOff>
    </xdr:from>
    <xdr:to>
      <xdr:col>3</xdr:col>
      <xdr:colOff>761688</xdr:colOff>
      <xdr:row>83</xdr:row>
      <xdr:rowOff>135413</xdr:rowOff>
    </xdr:to>
    <xdr:pic>
      <xdr:nvPicPr>
        <xdr:cNvPr id="19" name="Graphic 18" descr="Soccer Goal with solid fill">
          <a:extLst>
            <a:ext uri="{FF2B5EF4-FFF2-40B4-BE49-F238E27FC236}">
              <a16:creationId xmlns:a16="http://schemas.microsoft.com/office/drawing/2014/main" id="{BF83650B-F348-4AB8-85E3-1D814DADDAD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43290" y="7792643"/>
          <a:ext cx="344969" cy="234913"/>
        </a:xfrm>
        <a:prstGeom prst="rect">
          <a:avLst/>
        </a:prstGeom>
      </xdr:spPr>
    </xdr:pic>
    <xdr:clientData/>
  </xdr:twoCellAnchor>
  <xdr:twoCellAnchor>
    <xdr:from>
      <xdr:col>3</xdr:col>
      <xdr:colOff>404812</xdr:colOff>
      <xdr:row>86</xdr:row>
      <xdr:rowOff>69812</xdr:rowOff>
    </xdr:from>
    <xdr:to>
      <xdr:col>3</xdr:col>
      <xdr:colOff>749781</xdr:colOff>
      <xdr:row>87</xdr:row>
      <xdr:rowOff>5369</xdr:rowOff>
    </xdr:to>
    <xdr:pic>
      <xdr:nvPicPr>
        <xdr:cNvPr id="20" name="Graphic 19" descr="Soccer Goal with solid fill">
          <a:extLst>
            <a:ext uri="{FF2B5EF4-FFF2-40B4-BE49-F238E27FC236}">
              <a16:creationId xmlns:a16="http://schemas.microsoft.com/office/drawing/2014/main" id="{02E2084B-0495-47E1-BD64-4CECF729FF1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612630" y="8538403"/>
          <a:ext cx="344969" cy="247284"/>
        </a:xfrm>
        <a:prstGeom prst="rect">
          <a:avLst/>
        </a:prstGeom>
      </xdr:spPr>
    </xdr:pic>
    <xdr:clientData/>
  </xdr:twoCellAnchor>
  <xdr:twoCellAnchor>
    <xdr:from>
      <xdr:col>3</xdr:col>
      <xdr:colOff>428625</xdr:colOff>
      <xdr:row>89</xdr:row>
      <xdr:rowOff>215935</xdr:rowOff>
    </xdr:from>
    <xdr:to>
      <xdr:col>3</xdr:col>
      <xdr:colOff>773594</xdr:colOff>
      <xdr:row>90</xdr:row>
      <xdr:rowOff>151491</xdr:rowOff>
    </xdr:to>
    <xdr:pic>
      <xdr:nvPicPr>
        <xdr:cNvPr id="21" name="Graphic 20" descr="Soccer Goal with solid fill">
          <a:extLst>
            <a:ext uri="{FF2B5EF4-FFF2-40B4-BE49-F238E27FC236}">
              <a16:creationId xmlns:a16="http://schemas.microsoft.com/office/drawing/2014/main" id="{CDBCA3F1-3307-4889-A824-FF6AE0FCC87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636443" y="9619708"/>
          <a:ext cx="344969" cy="247284"/>
        </a:xfrm>
        <a:prstGeom prst="rect">
          <a:avLst/>
        </a:prstGeom>
      </xdr:spPr>
    </xdr:pic>
    <xdr:clientData/>
  </xdr:twoCellAnchor>
  <xdr:twoCellAnchor>
    <xdr:from>
      <xdr:col>3</xdr:col>
      <xdr:colOff>410766</xdr:colOff>
      <xdr:row>93</xdr:row>
      <xdr:rowOff>233705</xdr:rowOff>
    </xdr:from>
    <xdr:to>
      <xdr:col>3</xdr:col>
      <xdr:colOff>755735</xdr:colOff>
      <xdr:row>94</xdr:row>
      <xdr:rowOff>178429</xdr:rowOff>
    </xdr:to>
    <xdr:pic>
      <xdr:nvPicPr>
        <xdr:cNvPr id="22" name="Graphic 21" descr="Soccer Goal with solid fill">
          <a:extLst>
            <a:ext uri="{FF2B5EF4-FFF2-40B4-BE49-F238E27FC236}">
              <a16:creationId xmlns:a16="http://schemas.microsoft.com/office/drawing/2014/main" id="{816D9E23-ECBC-4FDF-B5A4-DE42A86965F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35737" y="32159264"/>
          <a:ext cx="344969" cy="247283"/>
        </a:xfrm>
        <a:prstGeom prst="rect">
          <a:avLst/>
        </a:prstGeom>
      </xdr:spPr>
    </xdr:pic>
    <xdr:clientData/>
  </xdr:twoCellAnchor>
  <xdr:twoCellAnchor>
    <xdr:from>
      <xdr:col>3</xdr:col>
      <xdr:colOff>404232</xdr:colOff>
      <xdr:row>96</xdr:row>
      <xdr:rowOff>209085</xdr:rowOff>
    </xdr:from>
    <xdr:to>
      <xdr:col>3</xdr:col>
      <xdr:colOff>749201</xdr:colOff>
      <xdr:row>97</xdr:row>
      <xdr:rowOff>144641</xdr:rowOff>
    </xdr:to>
    <xdr:pic>
      <xdr:nvPicPr>
        <xdr:cNvPr id="23" name="Graphic 22" descr="Soccer Goal with solid fill">
          <a:extLst>
            <a:ext uri="{FF2B5EF4-FFF2-40B4-BE49-F238E27FC236}">
              <a16:creationId xmlns:a16="http://schemas.microsoft.com/office/drawing/2014/main" id="{B39250B6-C733-4CEB-A189-B1C4273A360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613317" y="10175487"/>
          <a:ext cx="344969" cy="242215"/>
        </a:xfrm>
        <a:prstGeom prst="rect">
          <a:avLst/>
        </a:prstGeom>
      </xdr:spPr>
    </xdr:pic>
    <xdr:clientData/>
  </xdr:twoCellAnchor>
  <xdr:twoCellAnchor>
    <xdr:from>
      <xdr:col>3</xdr:col>
      <xdr:colOff>404232</xdr:colOff>
      <xdr:row>102</xdr:row>
      <xdr:rowOff>263202</xdr:rowOff>
    </xdr:from>
    <xdr:to>
      <xdr:col>3</xdr:col>
      <xdr:colOff>749201</xdr:colOff>
      <xdr:row>103</xdr:row>
      <xdr:rowOff>198760</xdr:rowOff>
    </xdr:to>
    <xdr:pic>
      <xdr:nvPicPr>
        <xdr:cNvPr id="26" name="Graphic 25" descr="Soccer Goal with solid fill">
          <a:extLst>
            <a:ext uri="{FF2B5EF4-FFF2-40B4-BE49-F238E27FC236}">
              <a16:creationId xmlns:a16="http://schemas.microsoft.com/office/drawing/2014/main" id="{98552E3B-12D3-4567-AB76-6EFC809082D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29203" y="35214349"/>
          <a:ext cx="344969" cy="238117"/>
        </a:xfrm>
        <a:prstGeom prst="rect">
          <a:avLst/>
        </a:prstGeom>
      </xdr:spPr>
    </xdr:pic>
    <xdr:clientData/>
  </xdr:twoCellAnchor>
  <xdr:twoCellAnchor>
    <xdr:from>
      <xdr:col>3</xdr:col>
      <xdr:colOff>413524</xdr:colOff>
      <xdr:row>112</xdr:row>
      <xdr:rowOff>199793</xdr:rowOff>
    </xdr:from>
    <xdr:to>
      <xdr:col>3</xdr:col>
      <xdr:colOff>758493</xdr:colOff>
      <xdr:row>113</xdr:row>
      <xdr:rowOff>135348</xdr:rowOff>
    </xdr:to>
    <xdr:pic>
      <xdr:nvPicPr>
        <xdr:cNvPr id="27" name="Graphic 26" descr="Soccer Goal with solid fill">
          <a:extLst>
            <a:ext uri="{FF2B5EF4-FFF2-40B4-BE49-F238E27FC236}">
              <a16:creationId xmlns:a16="http://schemas.microsoft.com/office/drawing/2014/main" id="{B840067B-C6E2-4AAD-B548-74C327EF6A6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622609" y="13269952"/>
          <a:ext cx="344969" cy="242215"/>
        </a:xfrm>
        <a:prstGeom prst="rect">
          <a:avLst/>
        </a:prstGeom>
      </xdr:spPr>
    </xdr:pic>
    <xdr:clientData/>
  </xdr:twoCellAnchor>
  <xdr:twoCellAnchor>
    <xdr:from>
      <xdr:col>3</xdr:col>
      <xdr:colOff>390293</xdr:colOff>
      <xdr:row>49</xdr:row>
      <xdr:rowOff>187180</xdr:rowOff>
    </xdr:from>
    <xdr:to>
      <xdr:col>3</xdr:col>
      <xdr:colOff>735262</xdr:colOff>
      <xdr:row>50</xdr:row>
      <xdr:rowOff>130038</xdr:rowOff>
    </xdr:to>
    <xdr:pic>
      <xdr:nvPicPr>
        <xdr:cNvPr id="28" name="Graphic 27" descr="Soccer Goal with solid fill">
          <a:extLst>
            <a:ext uri="{FF2B5EF4-FFF2-40B4-BE49-F238E27FC236}">
              <a16:creationId xmlns:a16="http://schemas.microsoft.com/office/drawing/2014/main" id="{86C04170-8758-4389-B8BA-6890FFAAC21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16864" y="18298287"/>
          <a:ext cx="344969" cy="242215"/>
        </a:xfrm>
        <a:prstGeom prst="rect">
          <a:avLst/>
        </a:prstGeom>
      </xdr:spPr>
    </xdr:pic>
    <xdr:clientData/>
  </xdr:twoCellAnchor>
  <xdr:twoCellAnchor>
    <xdr:from>
      <xdr:col>3</xdr:col>
      <xdr:colOff>399585</xdr:colOff>
      <xdr:row>51</xdr:row>
      <xdr:rowOff>236964</xdr:rowOff>
    </xdr:from>
    <xdr:to>
      <xdr:col>3</xdr:col>
      <xdr:colOff>744554</xdr:colOff>
      <xdr:row>52</xdr:row>
      <xdr:rowOff>172521</xdr:rowOff>
    </xdr:to>
    <xdr:pic>
      <xdr:nvPicPr>
        <xdr:cNvPr id="29" name="Graphic 28" descr="Soccer Goal with solid fill">
          <a:extLst>
            <a:ext uri="{FF2B5EF4-FFF2-40B4-BE49-F238E27FC236}">
              <a16:creationId xmlns:a16="http://schemas.microsoft.com/office/drawing/2014/main" id="{4B38B16B-BCB2-4DDE-808A-9EEBC445475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608670" y="14129525"/>
          <a:ext cx="344969" cy="242215"/>
        </a:xfrm>
        <a:prstGeom prst="rect">
          <a:avLst/>
        </a:prstGeom>
      </xdr:spPr>
    </xdr:pic>
    <xdr:clientData/>
  </xdr:twoCellAnchor>
  <xdr:twoCellAnchor>
    <xdr:from>
      <xdr:col>3</xdr:col>
      <xdr:colOff>376353</xdr:colOff>
      <xdr:row>53</xdr:row>
      <xdr:rowOff>185853</xdr:rowOff>
    </xdr:from>
    <xdr:to>
      <xdr:col>3</xdr:col>
      <xdr:colOff>721322</xdr:colOff>
      <xdr:row>54</xdr:row>
      <xdr:rowOff>121410</xdr:rowOff>
    </xdr:to>
    <xdr:pic>
      <xdr:nvPicPr>
        <xdr:cNvPr id="30" name="Graphic 29" descr="Soccer Goal with solid fill">
          <a:extLst>
            <a:ext uri="{FF2B5EF4-FFF2-40B4-BE49-F238E27FC236}">
              <a16:creationId xmlns:a16="http://schemas.microsoft.com/office/drawing/2014/main" id="{858276C9-F3D6-4644-9A5F-49881C0B41B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585438" y="14998390"/>
          <a:ext cx="344969" cy="242215"/>
        </a:xfrm>
        <a:prstGeom prst="rect">
          <a:avLst/>
        </a:prstGeom>
      </xdr:spPr>
    </xdr:pic>
    <xdr:clientData/>
  </xdr:twoCellAnchor>
  <xdr:twoCellAnchor>
    <xdr:from>
      <xdr:col>3</xdr:col>
      <xdr:colOff>385646</xdr:colOff>
      <xdr:row>55</xdr:row>
      <xdr:rowOff>178219</xdr:rowOff>
    </xdr:from>
    <xdr:to>
      <xdr:col>3</xdr:col>
      <xdr:colOff>730615</xdr:colOff>
      <xdr:row>56</xdr:row>
      <xdr:rowOff>121077</xdr:rowOff>
    </xdr:to>
    <xdr:pic>
      <xdr:nvPicPr>
        <xdr:cNvPr id="31" name="Graphic 30" descr="Soccer Goal with solid fill">
          <a:extLst>
            <a:ext uri="{FF2B5EF4-FFF2-40B4-BE49-F238E27FC236}">
              <a16:creationId xmlns:a16="http://schemas.microsoft.com/office/drawing/2014/main" id="{F393DAE3-E433-4578-A966-0DFE87837BE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12217" y="19486755"/>
          <a:ext cx="344969" cy="242215"/>
        </a:xfrm>
        <a:prstGeom prst="rect">
          <a:avLst/>
        </a:prstGeom>
      </xdr:spPr>
    </xdr:pic>
    <xdr:clientData/>
  </xdr:twoCellAnchor>
  <xdr:twoCellAnchor>
    <xdr:from>
      <xdr:col>3</xdr:col>
      <xdr:colOff>381000</xdr:colOff>
      <xdr:row>57</xdr:row>
      <xdr:rowOff>173573</xdr:rowOff>
    </xdr:from>
    <xdr:to>
      <xdr:col>3</xdr:col>
      <xdr:colOff>725969</xdr:colOff>
      <xdr:row>58</xdr:row>
      <xdr:rowOff>116431</xdr:rowOff>
    </xdr:to>
    <xdr:pic>
      <xdr:nvPicPr>
        <xdr:cNvPr id="96" name="Graphic 95" descr="Soccer Goal with solid fill">
          <a:extLst>
            <a:ext uri="{FF2B5EF4-FFF2-40B4-BE49-F238E27FC236}">
              <a16:creationId xmlns:a16="http://schemas.microsoft.com/office/drawing/2014/main" id="{2AFD2F49-981E-4EBA-B034-29D665D3B9F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07571" y="20080823"/>
          <a:ext cx="344969" cy="242215"/>
        </a:xfrm>
        <a:prstGeom prst="rect">
          <a:avLst/>
        </a:prstGeom>
      </xdr:spPr>
    </xdr:pic>
    <xdr:clientData/>
  </xdr:twoCellAnchor>
  <xdr:twoCellAnchor>
    <xdr:from>
      <xdr:col>3</xdr:col>
      <xdr:colOff>371707</xdr:colOff>
      <xdr:row>59</xdr:row>
      <xdr:rowOff>55756</xdr:rowOff>
    </xdr:from>
    <xdr:to>
      <xdr:col>3</xdr:col>
      <xdr:colOff>716676</xdr:colOff>
      <xdr:row>59</xdr:row>
      <xdr:rowOff>297971</xdr:rowOff>
    </xdr:to>
    <xdr:pic>
      <xdr:nvPicPr>
        <xdr:cNvPr id="97" name="Graphic 96" descr="Soccer Goal with solid fill">
          <a:extLst>
            <a:ext uri="{FF2B5EF4-FFF2-40B4-BE49-F238E27FC236}">
              <a16:creationId xmlns:a16="http://schemas.microsoft.com/office/drawing/2014/main" id="{6FF62490-5E80-4938-AEB4-2E4E651DCE4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580792" y="16401585"/>
          <a:ext cx="344969" cy="242215"/>
        </a:xfrm>
        <a:prstGeom prst="rect">
          <a:avLst/>
        </a:prstGeom>
      </xdr:spPr>
    </xdr:pic>
    <xdr:clientData/>
  </xdr:twoCellAnchor>
  <xdr:twoCellAnchor>
    <xdr:from>
      <xdr:col>3</xdr:col>
      <xdr:colOff>390293</xdr:colOff>
      <xdr:row>32</xdr:row>
      <xdr:rowOff>51110</xdr:rowOff>
    </xdr:from>
    <xdr:to>
      <xdr:col>3</xdr:col>
      <xdr:colOff>735262</xdr:colOff>
      <xdr:row>32</xdr:row>
      <xdr:rowOff>293325</xdr:rowOff>
    </xdr:to>
    <xdr:pic>
      <xdr:nvPicPr>
        <xdr:cNvPr id="104" name="Graphic 103" descr="Soccer Goal with solid fill">
          <a:extLst>
            <a:ext uri="{FF2B5EF4-FFF2-40B4-BE49-F238E27FC236}">
              <a16:creationId xmlns:a16="http://schemas.microsoft.com/office/drawing/2014/main" id="{5784DB1E-2C08-434C-912A-97291DB3177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599378" y="22125878"/>
          <a:ext cx="344969" cy="242215"/>
        </a:xfrm>
        <a:prstGeom prst="rect">
          <a:avLst/>
        </a:prstGeom>
      </xdr:spPr>
    </xdr:pic>
    <xdr:clientData/>
  </xdr:twoCellAnchor>
  <xdr:twoCellAnchor>
    <xdr:from>
      <xdr:col>3</xdr:col>
      <xdr:colOff>394939</xdr:colOff>
      <xdr:row>35</xdr:row>
      <xdr:rowOff>303380</xdr:rowOff>
    </xdr:from>
    <xdr:to>
      <xdr:col>3</xdr:col>
      <xdr:colOff>739908</xdr:colOff>
      <xdr:row>36</xdr:row>
      <xdr:rowOff>118133</xdr:rowOff>
    </xdr:to>
    <xdr:pic>
      <xdr:nvPicPr>
        <xdr:cNvPr id="105" name="Graphic 104" descr="Soccer Goal with solid fill">
          <a:extLst>
            <a:ext uri="{FF2B5EF4-FFF2-40B4-BE49-F238E27FC236}">
              <a16:creationId xmlns:a16="http://schemas.microsoft.com/office/drawing/2014/main" id="{C2C22D24-1A31-4066-AF79-231509AD101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607851" y="24631351"/>
          <a:ext cx="344969" cy="240576"/>
        </a:xfrm>
        <a:prstGeom prst="rect">
          <a:avLst/>
        </a:prstGeom>
      </xdr:spPr>
    </xdr:pic>
    <xdr:clientData/>
  </xdr:twoCellAnchor>
  <xdr:twoCellAnchor>
    <xdr:from>
      <xdr:col>3</xdr:col>
      <xdr:colOff>422817</xdr:colOff>
      <xdr:row>20</xdr:row>
      <xdr:rowOff>72545</xdr:rowOff>
    </xdr:from>
    <xdr:to>
      <xdr:col>3</xdr:col>
      <xdr:colOff>767786</xdr:colOff>
      <xdr:row>21</xdr:row>
      <xdr:rowOff>8100</xdr:rowOff>
    </xdr:to>
    <xdr:pic>
      <xdr:nvPicPr>
        <xdr:cNvPr id="110" name="Graphic 109" descr="Soccer Goal with solid fill">
          <a:extLst>
            <a:ext uri="{FF2B5EF4-FFF2-40B4-BE49-F238E27FC236}">
              <a16:creationId xmlns:a16="http://schemas.microsoft.com/office/drawing/2014/main" id="{2F3CB5ED-1537-4824-B500-1B1A0683409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49388" y="34131224"/>
          <a:ext cx="344969" cy="234912"/>
        </a:xfrm>
        <a:prstGeom prst="rect">
          <a:avLst/>
        </a:prstGeom>
      </xdr:spPr>
    </xdr:pic>
    <xdr:clientData/>
  </xdr:twoCellAnchor>
  <xdr:twoCellAnchor>
    <xdr:from>
      <xdr:col>3</xdr:col>
      <xdr:colOff>95249</xdr:colOff>
      <xdr:row>71</xdr:row>
      <xdr:rowOff>157868</xdr:rowOff>
    </xdr:from>
    <xdr:to>
      <xdr:col>3</xdr:col>
      <xdr:colOff>386605</xdr:colOff>
      <xdr:row>72</xdr:row>
      <xdr:rowOff>150304</xdr:rowOff>
    </xdr:to>
    <xdr:pic>
      <xdr:nvPicPr>
        <xdr:cNvPr id="9" name="Graphic 8" descr="Golf Flag In Hole with solid fill">
          <a:extLst>
            <a:ext uri="{FF2B5EF4-FFF2-40B4-BE49-F238E27FC236}">
              <a16:creationId xmlns:a16="http://schemas.microsoft.com/office/drawing/2014/main" id="{FEDBE294-E5E1-4B28-B0F3-F593D54DCB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0220" y="5659956"/>
          <a:ext cx="291356" cy="294995"/>
        </a:xfrm>
        <a:prstGeom prst="rect">
          <a:avLst/>
        </a:prstGeom>
      </xdr:spPr>
    </xdr:pic>
    <xdr:clientData/>
  </xdr:twoCellAnchor>
  <xdr:twoCellAnchor>
    <xdr:from>
      <xdr:col>3</xdr:col>
      <xdr:colOff>796243</xdr:colOff>
      <xdr:row>71</xdr:row>
      <xdr:rowOff>156881</xdr:rowOff>
    </xdr:from>
    <xdr:to>
      <xdr:col>3</xdr:col>
      <xdr:colOff>1064987</xdr:colOff>
      <xdr:row>72</xdr:row>
      <xdr:rowOff>125954</xdr:rowOff>
    </xdr:to>
    <xdr:pic>
      <xdr:nvPicPr>
        <xdr:cNvPr id="10" name="Graphic 9" descr="Home with solid fill">
          <a:extLst>
            <a:ext uri="{FF2B5EF4-FFF2-40B4-BE49-F238E27FC236}">
              <a16:creationId xmlns:a16="http://schemas.microsoft.com/office/drawing/2014/main" id="{A2055057-3C63-4CDF-AE5E-6EA8B9454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21214" y="5658969"/>
          <a:ext cx="268744" cy="271632"/>
        </a:xfrm>
        <a:prstGeom prst="rect">
          <a:avLst/>
        </a:prstGeom>
      </xdr:spPr>
    </xdr:pic>
    <xdr:clientData/>
  </xdr:twoCellAnchor>
  <xdr:twoCellAnchor>
    <xdr:from>
      <xdr:col>3</xdr:col>
      <xdr:colOff>427664</xdr:colOff>
      <xdr:row>71</xdr:row>
      <xdr:rowOff>209975</xdr:rowOff>
    </xdr:from>
    <xdr:to>
      <xdr:col>3</xdr:col>
      <xdr:colOff>772633</xdr:colOff>
      <xdr:row>72</xdr:row>
      <xdr:rowOff>142330</xdr:rowOff>
    </xdr:to>
    <xdr:pic>
      <xdr:nvPicPr>
        <xdr:cNvPr id="11" name="Graphic 10" descr="Soccer Goal with solid fill">
          <a:extLst>
            <a:ext uri="{FF2B5EF4-FFF2-40B4-BE49-F238E27FC236}">
              <a16:creationId xmlns:a16="http://schemas.microsoft.com/office/drawing/2014/main" id="{966A9E5E-E2CD-4CC9-99C5-E61DBBBA80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52635" y="5712063"/>
          <a:ext cx="344969" cy="234914"/>
        </a:xfrm>
        <a:prstGeom prst="rect">
          <a:avLst/>
        </a:prstGeom>
      </xdr:spPr>
    </xdr:pic>
    <xdr:clientData/>
  </xdr:twoCellAnchor>
  <xdr:twoCellAnchor>
    <xdr:from>
      <xdr:col>3</xdr:col>
      <xdr:colOff>95249</xdr:colOff>
      <xdr:row>24</xdr:row>
      <xdr:rowOff>19542</xdr:rowOff>
    </xdr:from>
    <xdr:to>
      <xdr:col>3</xdr:col>
      <xdr:colOff>386605</xdr:colOff>
      <xdr:row>25</xdr:row>
      <xdr:rowOff>11541</xdr:rowOff>
    </xdr:to>
    <xdr:pic>
      <xdr:nvPicPr>
        <xdr:cNvPr id="13" name="Graphic 12" descr="Golf Flag In Hole with solid fill">
          <a:extLst>
            <a:ext uri="{FF2B5EF4-FFF2-40B4-BE49-F238E27FC236}">
              <a16:creationId xmlns:a16="http://schemas.microsoft.com/office/drawing/2014/main" id="{C6F0B10C-9FE7-42DD-8FB6-E2155F69C6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20385" y="9613815"/>
          <a:ext cx="291356" cy="303726"/>
        </a:xfrm>
        <a:prstGeom prst="rect">
          <a:avLst/>
        </a:prstGeom>
      </xdr:spPr>
    </xdr:pic>
    <xdr:clientData/>
  </xdr:twoCellAnchor>
  <xdr:twoCellAnchor>
    <xdr:from>
      <xdr:col>3</xdr:col>
      <xdr:colOff>796243</xdr:colOff>
      <xdr:row>24</xdr:row>
      <xdr:rowOff>18555</xdr:rowOff>
    </xdr:from>
    <xdr:to>
      <xdr:col>3</xdr:col>
      <xdr:colOff>1064987</xdr:colOff>
      <xdr:row>24</xdr:row>
      <xdr:rowOff>302557</xdr:rowOff>
    </xdr:to>
    <xdr:pic>
      <xdr:nvPicPr>
        <xdr:cNvPr id="14" name="Graphic 13" descr="Home with solid fill">
          <a:extLst>
            <a:ext uri="{FF2B5EF4-FFF2-40B4-BE49-F238E27FC236}">
              <a16:creationId xmlns:a16="http://schemas.microsoft.com/office/drawing/2014/main" id="{E6BED6A4-55AD-412C-90A9-004FB5C603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1379" y="9612828"/>
          <a:ext cx="268744" cy="284002"/>
        </a:xfrm>
        <a:prstGeom prst="rect">
          <a:avLst/>
        </a:prstGeom>
      </xdr:spPr>
    </xdr:pic>
    <xdr:clientData/>
  </xdr:twoCellAnchor>
  <xdr:twoCellAnchor editAs="oneCell">
    <xdr:from>
      <xdr:col>3</xdr:col>
      <xdr:colOff>421856</xdr:colOff>
      <xdr:row>24</xdr:row>
      <xdr:rowOff>69357</xdr:rowOff>
    </xdr:from>
    <xdr:to>
      <xdr:col>3</xdr:col>
      <xdr:colOff>766825</xdr:colOff>
      <xdr:row>25</xdr:row>
      <xdr:rowOff>2749</xdr:rowOff>
    </xdr:to>
    <xdr:pic>
      <xdr:nvPicPr>
        <xdr:cNvPr id="15" name="Graphic 14" descr="Soccer Goal with solid fill">
          <a:extLst>
            <a:ext uri="{FF2B5EF4-FFF2-40B4-BE49-F238E27FC236}">
              <a16:creationId xmlns:a16="http://schemas.microsoft.com/office/drawing/2014/main" id="{30D34416-6A44-4319-A423-1E1D9C16687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646992" y="9663630"/>
          <a:ext cx="344969" cy="247284"/>
        </a:xfrm>
        <a:prstGeom prst="rect">
          <a:avLst/>
        </a:prstGeom>
      </xdr:spPr>
    </xdr:pic>
    <xdr:clientData/>
  </xdr:twoCellAnchor>
  <xdr:twoCellAnchor>
    <xdr:from>
      <xdr:col>3</xdr:col>
      <xdr:colOff>103908</xdr:colOff>
      <xdr:row>40</xdr:row>
      <xdr:rowOff>269468</xdr:rowOff>
    </xdr:from>
    <xdr:to>
      <xdr:col>3</xdr:col>
      <xdr:colOff>395264</xdr:colOff>
      <xdr:row>41</xdr:row>
      <xdr:rowOff>248741</xdr:rowOff>
    </xdr:to>
    <xdr:pic>
      <xdr:nvPicPr>
        <xdr:cNvPr id="134" name="Graphic 133" descr="Golf Flag In Hole with solid fill">
          <a:extLst>
            <a:ext uri="{FF2B5EF4-FFF2-40B4-BE49-F238E27FC236}">
              <a16:creationId xmlns:a16="http://schemas.microsoft.com/office/drawing/2014/main" id="{5BAA909A-38FE-445C-BA9C-92D832D616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29044" y="11024059"/>
          <a:ext cx="291356" cy="291000"/>
        </a:xfrm>
        <a:prstGeom prst="rect">
          <a:avLst/>
        </a:prstGeom>
      </xdr:spPr>
    </xdr:pic>
    <xdr:clientData/>
  </xdr:twoCellAnchor>
  <xdr:twoCellAnchor>
    <xdr:from>
      <xdr:col>3</xdr:col>
      <xdr:colOff>804902</xdr:colOff>
      <xdr:row>40</xdr:row>
      <xdr:rowOff>268481</xdr:rowOff>
    </xdr:from>
    <xdr:to>
      <xdr:col>3</xdr:col>
      <xdr:colOff>1073646</xdr:colOff>
      <xdr:row>41</xdr:row>
      <xdr:rowOff>237555</xdr:rowOff>
    </xdr:to>
    <xdr:pic>
      <xdr:nvPicPr>
        <xdr:cNvPr id="135" name="Graphic 134" descr="Home with solid fill">
          <a:extLst>
            <a:ext uri="{FF2B5EF4-FFF2-40B4-BE49-F238E27FC236}">
              <a16:creationId xmlns:a16="http://schemas.microsoft.com/office/drawing/2014/main" id="{F78E2C37-AD76-40D8-BB69-3691EFBAE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0038" y="11023072"/>
          <a:ext cx="268744" cy="280801"/>
        </a:xfrm>
        <a:prstGeom prst="rect">
          <a:avLst/>
        </a:prstGeom>
      </xdr:spPr>
    </xdr:pic>
    <xdr:clientData/>
  </xdr:twoCellAnchor>
  <xdr:twoCellAnchor>
    <xdr:from>
      <xdr:col>3</xdr:col>
      <xdr:colOff>411930</xdr:colOff>
      <xdr:row>41</xdr:row>
      <xdr:rowOff>6777</xdr:rowOff>
    </xdr:from>
    <xdr:to>
      <xdr:col>3</xdr:col>
      <xdr:colOff>756899</xdr:colOff>
      <xdr:row>41</xdr:row>
      <xdr:rowOff>254902</xdr:rowOff>
    </xdr:to>
    <xdr:pic>
      <xdr:nvPicPr>
        <xdr:cNvPr id="137" name="Graphic 136" descr="Soccer Goal with solid fill">
          <a:extLst>
            <a:ext uri="{FF2B5EF4-FFF2-40B4-BE49-F238E27FC236}">
              <a16:creationId xmlns:a16="http://schemas.microsoft.com/office/drawing/2014/main" id="{4AABF2DB-799E-4E97-A5E3-0F6FBF632D6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637066" y="11073095"/>
          <a:ext cx="344969" cy="248125"/>
        </a:xfrm>
        <a:prstGeom prst="rect">
          <a:avLst/>
        </a:prstGeom>
      </xdr:spPr>
    </xdr:pic>
    <xdr:clientData/>
  </xdr:twoCellAnchor>
  <xdr:twoCellAnchor>
    <xdr:from>
      <xdr:col>3</xdr:col>
      <xdr:colOff>89648</xdr:colOff>
      <xdr:row>49</xdr:row>
      <xdr:rowOff>136070</xdr:rowOff>
    </xdr:from>
    <xdr:to>
      <xdr:col>3</xdr:col>
      <xdr:colOff>381004</xdr:colOff>
      <xdr:row>50</xdr:row>
      <xdr:rowOff>124172</xdr:rowOff>
    </xdr:to>
    <xdr:pic>
      <xdr:nvPicPr>
        <xdr:cNvPr id="245" name="Graphic 244" descr="Golf Flag In Hole with solid fill">
          <a:extLst>
            <a:ext uri="{FF2B5EF4-FFF2-40B4-BE49-F238E27FC236}">
              <a16:creationId xmlns:a16="http://schemas.microsoft.com/office/drawing/2014/main" id="{ABE1A0A6-963B-4B4B-94C4-C95A6807EF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16219" y="18247177"/>
          <a:ext cx="291356" cy="287459"/>
        </a:xfrm>
        <a:prstGeom prst="rect">
          <a:avLst/>
        </a:prstGeom>
      </xdr:spPr>
    </xdr:pic>
    <xdr:clientData/>
  </xdr:twoCellAnchor>
  <xdr:twoCellAnchor>
    <xdr:from>
      <xdr:col>3</xdr:col>
      <xdr:colOff>398690</xdr:colOff>
      <xdr:row>99</xdr:row>
      <xdr:rowOff>208985</xdr:rowOff>
    </xdr:from>
    <xdr:to>
      <xdr:col>3</xdr:col>
      <xdr:colOff>743659</xdr:colOff>
      <xdr:row>100</xdr:row>
      <xdr:rowOff>144541</xdr:rowOff>
    </xdr:to>
    <xdr:pic>
      <xdr:nvPicPr>
        <xdr:cNvPr id="108" name="Graphic 107" descr="Soccer Goal with solid fill">
          <a:extLst>
            <a:ext uri="{FF2B5EF4-FFF2-40B4-BE49-F238E27FC236}">
              <a16:creationId xmlns:a16="http://schemas.microsoft.com/office/drawing/2014/main" id="{BD6D8302-07AB-4880-A4E4-350CEADB908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623826" y="33234758"/>
          <a:ext cx="344969" cy="247283"/>
        </a:xfrm>
        <a:prstGeom prst="rect">
          <a:avLst/>
        </a:prstGeom>
      </xdr:spPr>
    </xdr:pic>
    <xdr:clientData/>
  </xdr:twoCellAnchor>
  <xdr:twoCellAnchor>
    <xdr:from>
      <xdr:col>3</xdr:col>
      <xdr:colOff>121226</xdr:colOff>
      <xdr:row>104</xdr:row>
      <xdr:rowOff>286734</xdr:rowOff>
    </xdr:from>
    <xdr:to>
      <xdr:col>3</xdr:col>
      <xdr:colOff>412582</xdr:colOff>
      <xdr:row>105</xdr:row>
      <xdr:rowOff>278733</xdr:rowOff>
    </xdr:to>
    <xdr:pic>
      <xdr:nvPicPr>
        <xdr:cNvPr id="111" name="Graphic 110" descr="Golf Flag In Hole with solid fill">
          <a:extLst>
            <a:ext uri="{FF2B5EF4-FFF2-40B4-BE49-F238E27FC236}">
              <a16:creationId xmlns:a16="http://schemas.microsoft.com/office/drawing/2014/main" id="{B23795C7-476C-4B2E-BE4C-3F388C9797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50271" y="15093779"/>
          <a:ext cx="291356" cy="303727"/>
        </a:xfrm>
        <a:prstGeom prst="rect">
          <a:avLst/>
        </a:prstGeom>
      </xdr:spPr>
    </xdr:pic>
    <xdr:clientData/>
  </xdr:twoCellAnchor>
  <xdr:twoCellAnchor>
    <xdr:from>
      <xdr:col>3</xdr:col>
      <xdr:colOff>822220</xdr:colOff>
      <xdr:row>104</xdr:row>
      <xdr:rowOff>285747</xdr:rowOff>
    </xdr:from>
    <xdr:to>
      <xdr:col>3</xdr:col>
      <xdr:colOff>1090964</xdr:colOff>
      <xdr:row>105</xdr:row>
      <xdr:rowOff>258022</xdr:rowOff>
    </xdr:to>
    <xdr:pic>
      <xdr:nvPicPr>
        <xdr:cNvPr id="112" name="Graphic 111" descr="Home with solid fill">
          <a:extLst>
            <a:ext uri="{FF2B5EF4-FFF2-40B4-BE49-F238E27FC236}">
              <a16:creationId xmlns:a16="http://schemas.microsoft.com/office/drawing/2014/main" id="{6F335678-5A9F-4247-96D3-48FB78B277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51265" y="15092792"/>
          <a:ext cx="268744" cy="284003"/>
        </a:xfrm>
        <a:prstGeom prst="rect">
          <a:avLst/>
        </a:prstGeom>
      </xdr:spPr>
    </xdr:pic>
    <xdr:clientData/>
  </xdr:twoCellAnchor>
  <xdr:twoCellAnchor>
    <xdr:from>
      <xdr:col>3</xdr:col>
      <xdr:colOff>438540</xdr:colOff>
      <xdr:row>105</xdr:row>
      <xdr:rowOff>33212</xdr:rowOff>
    </xdr:from>
    <xdr:to>
      <xdr:col>3</xdr:col>
      <xdr:colOff>783509</xdr:colOff>
      <xdr:row>105</xdr:row>
      <xdr:rowOff>275429</xdr:rowOff>
    </xdr:to>
    <xdr:pic>
      <xdr:nvPicPr>
        <xdr:cNvPr id="113" name="Graphic 112" descr="Soccer Goal with solid fill">
          <a:extLst>
            <a:ext uri="{FF2B5EF4-FFF2-40B4-BE49-F238E27FC236}">
              <a16:creationId xmlns:a16="http://schemas.microsoft.com/office/drawing/2014/main" id="{B32EDB05-A78A-491C-9480-1527EEEEE60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67585" y="15151985"/>
          <a:ext cx="344969" cy="242217"/>
        </a:xfrm>
        <a:prstGeom prst="rect">
          <a:avLst/>
        </a:prstGeom>
      </xdr:spPr>
    </xdr:pic>
    <xdr:clientData/>
  </xdr:twoCellAnchor>
  <xdr:twoCellAnchor>
    <xdr:from>
      <xdr:col>3</xdr:col>
      <xdr:colOff>121226</xdr:colOff>
      <xdr:row>108</xdr:row>
      <xdr:rowOff>28172</xdr:rowOff>
    </xdr:from>
    <xdr:to>
      <xdr:col>3</xdr:col>
      <xdr:colOff>412582</xdr:colOff>
      <xdr:row>109</xdr:row>
      <xdr:rowOff>20171</xdr:rowOff>
    </xdr:to>
    <xdr:pic>
      <xdr:nvPicPr>
        <xdr:cNvPr id="116" name="Graphic 115" descr="Golf Flag In Hole with solid fill">
          <a:extLst>
            <a:ext uri="{FF2B5EF4-FFF2-40B4-BE49-F238E27FC236}">
              <a16:creationId xmlns:a16="http://schemas.microsoft.com/office/drawing/2014/main" id="{D7FC9ACB-67F9-41CA-88BA-480208B7E3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50271" y="16082127"/>
          <a:ext cx="291356" cy="303726"/>
        </a:xfrm>
        <a:prstGeom prst="rect">
          <a:avLst/>
        </a:prstGeom>
      </xdr:spPr>
    </xdr:pic>
    <xdr:clientData/>
  </xdr:twoCellAnchor>
  <xdr:twoCellAnchor>
    <xdr:from>
      <xdr:col>3</xdr:col>
      <xdr:colOff>822220</xdr:colOff>
      <xdr:row>108</xdr:row>
      <xdr:rowOff>27185</xdr:rowOff>
    </xdr:from>
    <xdr:to>
      <xdr:col>3</xdr:col>
      <xdr:colOff>1090964</xdr:colOff>
      <xdr:row>108</xdr:row>
      <xdr:rowOff>298817</xdr:rowOff>
    </xdr:to>
    <xdr:pic>
      <xdr:nvPicPr>
        <xdr:cNvPr id="117" name="Graphic 116" descr="Home with solid fill">
          <a:extLst>
            <a:ext uri="{FF2B5EF4-FFF2-40B4-BE49-F238E27FC236}">
              <a16:creationId xmlns:a16="http://schemas.microsoft.com/office/drawing/2014/main" id="{9349E8D6-3476-4325-AC26-027D2AB1A5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51265" y="16081140"/>
          <a:ext cx="268744" cy="271632"/>
        </a:xfrm>
        <a:prstGeom prst="rect">
          <a:avLst/>
        </a:prstGeom>
      </xdr:spPr>
    </xdr:pic>
    <xdr:clientData/>
  </xdr:twoCellAnchor>
  <xdr:twoCellAnchor>
    <xdr:from>
      <xdr:col>3</xdr:col>
      <xdr:colOff>424601</xdr:colOff>
      <xdr:row>108</xdr:row>
      <xdr:rowOff>74006</xdr:rowOff>
    </xdr:from>
    <xdr:to>
      <xdr:col>3</xdr:col>
      <xdr:colOff>769570</xdr:colOff>
      <xdr:row>109</xdr:row>
      <xdr:rowOff>16865</xdr:rowOff>
    </xdr:to>
    <xdr:pic>
      <xdr:nvPicPr>
        <xdr:cNvPr id="119" name="Graphic 118" descr="Soccer Goal with solid fill">
          <a:extLst>
            <a:ext uri="{FF2B5EF4-FFF2-40B4-BE49-F238E27FC236}">
              <a16:creationId xmlns:a16="http://schemas.microsoft.com/office/drawing/2014/main" id="{35639D28-7F66-41B5-AF60-DAEACEEBE5F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53646" y="16127961"/>
          <a:ext cx="344969" cy="254586"/>
        </a:xfrm>
        <a:prstGeom prst="rect">
          <a:avLst/>
        </a:prstGeom>
      </xdr:spPr>
    </xdr:pic>
    <xdr:clientData/>
  </xdr:twoCellAnchor>
  <xdr:twoCellAnchor>
    <xdr:from>
      <xdr:col>3</xdr:col>
      <xdr:colOff>95249</xdr:colOff>
      <xdr:row>28</xdr:row>
      <xdr:rowOff>150638</xdr:rowOff>
    </xdr:from>
    <xdr:to>
      <xdr:col>3</xdr:col>
      <xdr:colOff>386605</xdr:colOff>
      <xdr:row>29</xdr:row>
      <xdr:rowOff>142636</xdr:rowOff>
    </xdr:to>
    <xdr:pic>
      <xdr:nvPicPr>
        <xdr:cNvPr id="123" name="Graphic 122" descr="Golf Flag In Hole with solid fill">
          <a:extLst>
            <a:ext uri="{FF2B5EF4-FFF2-40B4-BE49-F238E27FC236}">
              <a16:creationId xmlns:a16="http://schemas.microsoft.com/office/drawing/2014/main" id="{769AC3AD-A20F-4DA8-9663-A369072F6C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1820" y="27147209"/>
          <a:ext cx="291356" cy="291356"/>
        </a:xfrm>
        <a:prstGeom prst="rect">
          <a:avLst/>
        </a:prstGeom>
      </xdr:spPr>
    </xdr:pic>
    <xdr:clientData/>
  </xdr:twoCellAnchor>
  <xdr:twoCellAnchor>
    <xdr:from>
      <xdr:col>3</xdr:col>
      <xdr:colOff>796243</xdr:colOff>
      <xdr:row>28</xdr:row>
      <xdr:rowOff>149651</xdr:rowOff>
    </xdr:from>
    <xdr:to>
      <xdr:col>3</xdr:col>
      <xdr:colOff>1064987</xdr:colOff>
      <xdr:row>29</xdr:row>
      <xdr:rowOff>121925</xdr:rowOff>
    </xdr:to>
    <xdr:pic>
      <xdr:nvPicPr>
        <xdr:cNvPr id="125" name="Graphic 124" descr="Home with solid fill">
          <a:extLst>
            <a:ext uri="{FF2B5EF4-FFF2-40B4-BE49-F238E27FC236}">
              <a16:creationId xmlns:a16="http://schemas.microsoft.com/office/drawing/2014/main" id="{F0982857-8751-4ADD-91A6-6643FE32EA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22814" y="27146222"/>
          <a:ext cx="268744" cy="271632"/>
        </a:xfrm>
        <a:prstGeom prst="rect">
          <a:avLst/>
        </a:prstGeom>
      </xdr:spPr>
    </xdr:pic>
    <xdr:clientData/>
  </xdr:twoCellAnchor>
  <xdr:twoCellAnchor>
    <xdr:from>
      <xdr:col>3</xdr:col>
      <xdr:colOff>398624</xdr:colOff>
      <xdr:row>28</xdr:row>
      <xdr:rowOff>187179</xdr:rowOff>
    </xdr:from>
    <xdr:to>
      <xdr:col>3</xdr:col>
      <xdr:colOff>743593</xdr:colOff>
      <xdr:row>29</xdr:row>
      <xdr:rowOff>130036</xdr:rowOff>
    </xdr:to>
    <xdr:pic>
      <xdr:nvPicPr>
        <xdr:cNvPr id="131" name="Graphic 130" descr="Soccer Goal with solid fill">
          <a:extLst>
            <a:ext uri="{FF2B5EF4-FFF2-40B4-BE49-F238E27FC236}">
              <a16:creationId xmlns:a16="http://schemas.microsoft.com/office/drawing/2014/main" id="{367678AE-A723-4D56-81AB-B8C7E6CF9C8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25195" y="27183750"/>
          <a:ext cx="344969" cy="242215"/>
        </a:xfrm>
        <a:prstGeom prst="rect">
          <a:avLst/>
        </a:prstGeom>
      </xdr:spPr>
    </xdr:pic>
    <xdr:clientData/>
  </xdr:twoCellAnchor>
  <xdr:twoCellAnchor>
    <xdr:from>
      <xdr:col>3</xdr:col>
      <xdr:colOff>86590</xdr:colOff>
      <xdr:row>114</xdr:row>
      <xdr:rowOff>987</xdr:rowOff>
    </xdr:from>
    <xdr:to>
      <xdr:col>3</xdr:col>
      <xdr:colOff>377946</xdr:colOff>
      <xdr:row>114</xdr:row>
      <xdr:rowOff>297614</xdr:rowOff>
    </xdr:to>
    <xdr:pic>
      <xdr:nvPicPr>
        <xdr:cNvPr id="2" name="Graphic 1" descr="Golf Flag In Hole with solid fill">
          <a:extLst>
            <a:ext uri="{FF2B5EF4-FFF2-40B4-BE49-F238E27FC236}">
              <a16:creationId xmlns:a16="http://schemas.microsoft.com/office/drawing/2014/main" id="{ACE480B7-CA01-432D-8A5A-DEF2CFD60B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10440" y="19917762"/>
          <a:ext cx="291356" cy="296627"/>
        </a:xfrm>
        <a:prstGeom prst="rect">
          <a:avLst/>
        </a:prstGeom>
      </xdr:spPr>
    </xdr:pic>
    <xdr:clientData/>
  </xdr:twoCellAnchor>
  <xdr:twoCellAnchor>
    <xdr:from>
      <xdr:col>3</xdr:col>
      <xdr:colOff>787584</xdr:colOff>
      <xdr:row>114</xdr:row>
      <xdr:rowOff>0</xdr:rowOff>
    </xdr:from>
    <xdr:to>
      <xdr:col>3</xdr:col>
      <xdr:colOff>1056328</xdr:colOff>
      <xdr:row>114</xdr:row>
      <xdr:rowOff>276903</xdr:rowOff>
    </xdr:to>
    <xdr:pic>
      <xdr:nvPicPr>
        <xdr:cNvPr id="4" name="Graphic 3" descr="Home with solid fill">
          <a:extLst>
            <a:ext uri="{FF2B5EF4-FFF2-40B4-BE49-F238E27FC236}">
              <a16:creationId xmlns:a16="http://schemas.microsoft.com/office/drawing/2014/main" id="{3EB579C3-F98F-4538-A71B-F106641F85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11434" y="19916775"/>
          <a:ext cx="268744" cy="276903"/>
        </a:xfrm>
        <a:prstGeom prst="rect">
          <a:avLst/>
        </a:prstGeom>
      </xdr:spPr>
    </xdr:pic>
    <xdr:clientData/>
  </xdr:twoCellAnchor>
  <xdr:twoCellAnchor>
    <xdr:from>
      <xdr:col>3</xdr:col>
      <xdr:colOff>403904</xdr:colOff>
      <xdr:row>114</xdr:row>
      <xdr:rowOff>36531</xdr:rowOff>
    </xdr:from>
    <xdr:to>
      <xdr:col>3</xdr:col>
      <xdr:colOff>748873</xdr:colOff>
      <xdr:row>114</xdr:row>
      <xdr:rowOff>283814</xdr:rowOff>
    </xdr:to>
    <xdr:pic>
      <xdr:nvPicPr>
        <xdr:cNvPr id="6" name="Graphic 5" descr="Soccer Goal with solid fill">
          <a:extLst>
            <a:ext uri="{FF2B5EF4-FFF2-40B4-BE49-F238E27FC236}">
              <a16:creationId xmlns:a16="http://schemas.microsoft.com/office/drawing/2014/main" id="{DA466FC7-9C4B-45EC-AAE2-E4BCFBF8D8C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32949" y="38777304"/>
          <a:ext cx="344969" cy="247283"/>
        </a:xfrm>
        <a:prstGeom prst="rect">
          <a:avLst/>
        </a:prstGeom>
      </xdr:spPr>
    </xdr:pic>
    <xdr:clientData/>
  </xdr:twoCellAnchor>
  <xdr:twoCellAnchor editAs="oneCell">
    <xdr:from>
      <xdr:col>6</xdr:col>
      <xdr:colOff>4151548</xdr:colOff>
      <xdr:row>100</xdr:row>
      <xdr:rowOff>103908</xdr:rowOff>
    </xdr:from>
    <xdr:to>
      <xdr:col>6</xdr:col>
      <xdr:colOff>4280923</xdr:colOff>
      <xdr:row>100</xdr:row>
      <xdr:rowOff>229936</xdr:rowOff>
    </xdr:to>
    <xdr:sp macro="" textlink="">
      <xdr:nvSpPr>
        <xdr:cNvPr id="7" name="Shape 71">
          <a:extLst>
            <a:ext uri="{FF2B5EF4-FFF2-40B4-BE49-F238E27FC236}">
              <a16:creationId xmlns:a16="http://schemas.microsoft.com/office/drawing/2014/main" id="{E632A410-4278-4727-A519-3FB60C55A6C2}"/>
            </a:ext>
          </a:extLst>
        </xdr:cNvPr>
        <xdr:cNvSpPr/>
      </xdr:nvSpPr>
      <xdr:spPr>
        <a:xfrm>
          <a:off x="13999570" y="34783191"/>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rgbClr val="92D050"/>
        </a:solidFill>
      </xdr:spPr>
    </xdr:sp>
    <xdr:clientData/>
  </xdr:twoCellAnchor>
  <xdr:twoCellAnchor editAs="oneCell">
    <xdr:from>
      <xdr:col>6</xdr:col>
      <xdr:colOff>4156862</xdr:colOff>
      <xdr:row>47</xdr:row>
      <xdr:rowOff>95249</xdr:rowOff>
    </xdr:from>
    <xdr:to>
      <xdr:col>6</xdr:col>
      <xdr:colOff>4286237</xdr:colOff>
      <xdr:row>47</xdr:row>
      <xdr:rowOff>221277</xdr:rowOff>
    </xdr:to>
    <xdr:sp macro="" textlink="">
      <xdr:nvSpPr>
        <xdr:cNvPr id="16" name="Shape 71">
          <a:extLst>
            <a:ext uri="{FF2B5EF4-FFF2-40B4-BE49-F238E27FC236}">
              <a16:creationId xmlns:a16="http://schemas.microsoft.com/office/drawing/2014/main" id="{67DBFCAE-AC2F-488F-BAF0-B9C2ED199284}"/>
            </a:ext>
          </a:extLst>
        </xdr:cNvPr>
        <xdr:cNvSpPr/>
      </xdr:nvSpPr>
      <xdr:spPr>
        <a:xfrm>
          <a:off x="14004884" y="16602488"/>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rgbClr val="7030A0"/>
        </a:solidFill>
      </xdr:spPr>
    </xdr:sp>
    <xdr:clientData/>
  </xdr:twoCellAnchor>
  <xdr:oneCellAnchor>
    <xdr:from>
      <xdr:col>6</xdr:col>
      <xdr:colOff>4156862</xdr:colOff>
      <xdr:row>46</xdr:row>
      <xdr:rowOff>95249</xdr:rowOff>
    </xdr:from>
    <xdr:ext cx="129375" cy="126028"/>
    <xdr:sp macro="" textlink="">
      <xdr:nvSpPr>
        <xdr:cNvPr id="18" name="Shape 71">
          <a:extLst>
            <a:ext uri="{FF2B5EF4-FFF2-40B4-BE49-F238E27FC236}">
              <a16:creationId xmlns:a16="http://schemas.microsoft.com/office/drawing/2014/main" id="{54E9D839-8078-4E96-9805-52777B4B77F1}"/>
            </a:ext>
          </a:extLst>
        </xdr:cNvPr>
        <xdr:cNvSpPr/>
      </xdr:nvSpPr>
      <xdr:spPr>
        <a:xfrm>
          <a:off x="14004884" y="16296032"/>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chemeClr val="accent5">
            <a:lumMod val="50000"/>
          </a:schemeClr>
        </a:solidFill>
      </xdr:spPr>
    </xdr:sp>
    <xdr:clientData/>
  </xdr:oneCellAnchor>
  <xdr:twoCellAnchor editAs="oneCell">
    <xdr:from>
      <xdr:col>6</xdr:col>
      <xdr:colOff>4163673</xdr:colOff>
      <xdr:row>23</xdr:row>
      <xdr:rowOff>106136</xdr:rowOff>
    </xdr:from>
    <xdr:to>
      <xdr:col>6</xdr:col>
      <xdr:colOff>4293048</xdr:colOff>
      <xdr:row>23</xdr:row>
      <xdr:rowOff>232164</xdr:rowOff>
    </xdr:to>
    <xdr:sp macro="" textlink="">
      <xdr:nvSpPr>
        <xdr:cNvPr id="24" name="Shape 71">
          <a:extLst>
            <a:ext uri="{FF2B5EF4-FFF2-40B4-BE49-F238E27FC236}">
              <a16:creationId xmlns:a16="http://schemas.microsoft.com/office/drawing/2014/main" id="{7DCBB73C-8879-4A61-A017-426977AAC5B6}"/>
            </a:ext>
          </a:extLst>
        </xdr:cNvPr>
        <xdr:cNvSpPr/>
      </xdr:nvSpPr>
      <xdr:spPr>
        <a:xfrm>
          <a:off x="13144387" y="6950529"/>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chemeClr val="tx1"/>
        </a:solidFill>
      </xdr:spPr>
      <xdr:txBody>
        <a:bodyPr/>
        <a:lstStyle/>
        <a:p>
          <a:endParaRPr lang="en-US"/>
        </a:p>
      </xdr:txBody>
    </xdr:sp>
    <xdr:clientData/>
  </xdr:twoCellAnchor>
  <xdr:twoCellAnchor editAs="oneCell">
    <xdr:from>
      <xdr:col>6</xdr:col>
      <xdr:colOff>4155390</xdr:colOff>
      <xdr:row>21</xdr:row>
      <xdr:rowOff>24493</xdr:rowOff>
    </xdr:from>
    <xdr:to>
      <xdr:col>6</xdr:col>
      <xdr:colOff>4284765</xdr:colOff>
      <xdr:row>21</xdr:row>
      <xdr:rowOff>150521</xdr:rowOff>
    </xdr:to>
    <xdr:sp macro="" textlink="">
      <xdr:nvSpPr>
        <xdr:cNvPr id="98" name="Shape 71">
          <a:extLst>
            <a:ext uri="{FF2B5EF4-FFF2-40B4-BE49-F238E27FC236}">
              <a16:creationId xmlns:a16="http://schemas.microsoft.com/office/drawing/2014/main" id="{6318DEC8-4AB4-4CEA-AD81-A780F93A2D6F}"/>
            </a:ext>
          </a:extLst>
        </xdr:cNvPr>
        <xdr:cNvSpPr/>
      </xdr:nvSpPr>
      <xdr:spPr>
        <a:xfrm>
          <a:off x="14003412" y="6269580"/>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rgbClr val="FFC000"/>
        </a:solidFill>
      </xdr:spPr>
    </xdr:sp>
    <xdr:clientData/>
  </xdr:twoCellAnchor>
  <xdr:oneCellAnchor>
    <xdr:from>
      <xdr:col>6</xdr:col>
      <xdr:colOff>4000376</xdr:colOff>
      <xdr:row>21</xdr:row>
      <xdr:rowOff>165888</xdr:rowOff>
    </xdr:from>
    <xdr:ext cx="129375" cy="126028"/>
    <xdr:sp macro="" textlink="">
      <xdr:nvSpPr>
        <xdr:cNvPr id="99" name="Shape 71">
          <a:extLst>
            <a:ext uri="{FF2B5EF4-FFF2-40B4-BE49-F238E27FC236}">
              <a16:creationId xmlns:a16="http://schemas.microsoft.com/office/drawing/2014/main" id="{428B3D7D-D632-40AA-B8E3-2DB65C27DE2A}"/>
            </a:ext>
          </a:extLst>
        </xdr:cNvPr>
        <xdr:cNvSpPr/>
      </xdr:nvSpPr>
      <xdr:spPr>
        <a:xfrm>
          <a:off x="13848398" y="6410975"/>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chemeClr val="accent5">
            <a:lumMod val="50000"/>
          </a:schemeClr>
        </a:solidFill>
      </xdr:spPr>
    </xdr:sp>
    <xdr:clientData/>
  </xdr:oneCellAnchor>
  <xdr:twoCellAnchor editAs="oneCell">
    <xdr:from>
      <xdr:col>6</xdr:col>
      <xdr:colOff>4155390</xdr:colOff>
      <xdr:row>21</xdr:row>
      <xdr:rowOff>165887</xdr:rowOff>
    </xdr:from>
    <xdr:to>
      <xdr:col>6</xdr:col>
      <xdr:colOff>4284765</xdr:colOff>
      <xdr:row>21</xdr:row>
      <xdr:rowOff>296167</xdr:rowOff>
    </xdr:to>
    <xdr:sp macro="" textlink="">
      <xdr:nvSpPr>
        <xdr:cNvPr id="100" name="Shape 71">
          <a:extLst>
            <a:ext uri="{FF2B5EF4-FFF2-40B4-BE49-F238E27FC236}">
              <a16:creationId xmlns:a16="http://schemas.microsoft.com/office/drawing/2014/main" id="{AE95A822-4A09-40C8-8B1E-E802B9694B87}"/>
            </a:ext>
          </a:extLst>
        </xdr:cNvPr>
        <xdr:cNvSpPr/>
      </xdr:nvSpPr>
      <xdr:spPr>
        <a:xfrm>
          <a:off x="14003412" y="6410974"/>
          <a:ext cx="129375" cy="130280"/>
        </a:xfrm>
        <a:custGeom>
          <a:avLst/>
          <a:gdLst/>
          <a:ahLst/>
          <a:cxnLst/>
          <a:rect l="0" t="0" r="0" b="0"/>
          <a:pathLst>
            <a:path w="68580" h="68580">
              <a:moveTo>
                <a:pt x="0" y="0"/>
              </a:moveTo>
              <a:lnTo>
                <a:pt x="68579" y="0"/>
              </a:lnTo>
              <a:lnTo>
                <a:pt x="68579" y="68579"/>
              </a:lnTo>
              <a:lnTo>
                <a:pt x="0" y="68579"/>
              </a:lnTo>
              <a:lnTo>
                <a:pt x="0" y="0"/>
              </a:lnTo>
              <a:close/>
            </a:path>
          </a:pathLst>
        </a:custGeom>
        <a:solidFill>
          <a:srgbClr val="92D050"/>
        </a:solidFill>
      </xdr:spPr>
    </xdr:sp>
    <xdr:clientData/>
  </xdr:twoCellAnchor>
  <xdr:twoCellAnchor editAs="oneCell">
    <xdr:from>
      <xdr:col>6</xdr:col>
      <xdr:colOff>4160853</xdr:colOff>
      <xdr:row>26</xdr:row>
      <xdr:rowOff>21772</xdr:rowOff>
    </xdr:from>
    <xdr:to>
      <xdr:col>6</xdr:col>
      <xdr:colOff>4290228</xdr:colOff>
      <xdr:row>26</xdr:row>
      <xdr:rowOff>147800</xdr:rowOff>
    </xdr:to>
    <xdr:sp macro="" textlink="">
      <xdr:nvSpPr>
        <xdr:cNvPr id="124" name="Shape 71">
          <a:extLst>
            <a:ext uri="{FF2B5EF4-FFF2-40B4-BE49-F238E27FC236}">
              <a16:creationId xmlns:a16="http://schemas.microsoft.com/office/drawing/2014/main" id="{DEEAA8C1-E57D-46A6-AFCE-0F2D82D7A657}"/>
            </a:ext>
          </a:extLst>
        </xdr:cNvPr>
        <xdr:cNvSpPr/>
      </xdr:nvSpPr>
      <xdr:spPr>
        <a:xfrm>
          <a:off x="14008875" y="7492685"/>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rgbClr val="FFC000"/>
        </a:solidFill>
      </xdr:spPr>
    </xdr:sp>
    <xdr:clientData/>
  </xdr:twoCellAnchor>
  <xdr:oneCellAnchor>
    <xdr:from>
      <xdr:col>6</xdr:col>
      <xdr:colOff>4005839</xdr:colOff>
      <xdr:row>26</xdr:row>
      <xdr:rowOff>163167</xdr:rowOff>
    </xdr:from>
    <xdr:ext cx="129375" cy="126028"/>
    <xdr:sp macro="" textlink="">
      <xdr:nvSpPr>
        <xdr:cNvPr id="126" name="Shape 71">
          <a:extLst>
            <a:ext uri="{FF2B5EF4-FFF2-40B4-BE49-F238E27FC236}">
              <a16:creationId xmlns:a16="http://schemas.microsoft.com/office/drawing/2014/main" id="{CC525970-6C48-4A72-A8F5-980B69957EBA}"/>
            </a:ext>
          </a:extLst>
        </xdr:cNvPr>
        <xdr:cNvSpPr/>
      </xdr:nvSpPr>
      <xdr:spPr>
        <a:xfrm>
          <a:off x="13853861" y="7634080"/>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chemeClr val="accent5">
            <a:lumMod val="50000"/>
          </a:schemeClr>
        </a:solidFill>
      </xdr:spPr>
    </xdr:sp>
    <xdr:clientData/>
  </xdr:oneCellAnchor>
  <xdr:twoCellAnchor editAs="oneCell">
    <xdr:from>
      <xdr:col>6</xdr:col>
      <xdr:colOff>4160853</xdr:colOff>
      <xdr:row>26</xdr:row>
      <xdr:rowOff>163166</xdr:rowOff>
    </xdr:from>
    <xdr:to>
      <xdr:col>6</xdr:col>
      <xdr:colOff>4290228</xdr:colOff>
      <xdr:row>26</xdr:row>
      <xdr:rowOff>293446</xdr:rowOff>
    </xdr:to>
    <xdr:sp macro="" textlink="">
      <xdr:nvSpPr>
        <xdr:cNvPr id="132" name="Shape 71">
          <a:extLst>
            <a:ext uri="{FF2B5EF4-FFF2-40B4-BE49-F238E27FC236}">
              <a16:creationId xmlns:a16="http://schemas.microsoft.com/office/drawing/2014/main" id="{3B30DACB-5FE1-4798-95C7-1A7F81FD0996}"/>
            </a:ext>
          </a:extLst>
        </xdr:cNvPr>
        <xdr:cNvSpPr/>
      </xdr:nvSpPr>
      <xdr:spPr>
        <a:xfrm>
          <a:off x="14008875" y="7634079"/>
          <a:ext cx="129375" cy="130280"/>
        </a:xfrm>
        <a:custGeom>
          <a:avLst/>
          <a:gdLst/>
          <a:ahLst/>
          <a:cxnLst/>
          <a:rect l="0" t="0" r="0" b="0"/>
          <a:pathLst>
            <a:path w="68580" h="68580">
              <a:moveTo>
                <a:pt x="0" y="0"/>
              </a:moveTo>
              <a:lnTo>
                <a:pt x="68579" y="0"/>
              </a:lnTo>
              <a:lnTo>
                <a:pt x="68579" y="68579"/>
              </a:lnTo>
              <a:lnTo>
                <a:pt x="0" y="68579"/>
              </a:lnTo>
              <a:lnTo>
                <a:pt x="0" y="0"/>
              </a:lnTo>
              <a:close/>
            </a:path>
          </a:pathLst>
        </a:custGeom>
        <a:solidFill>
          <a:srgbClr val="92D050"/>
        </a:solidFill>
      </xdr:spPr>
    </xdr:sp>
    <xdr:clientData/>
  </xdr:twoCellAnchor>
  <xdr:twoCellAnchor editAs="oneCell">
    <xdr:from>
      <xdr:col>6</xdr:col>
      <xdr:colOff>4155619</xdr:colOff>
      <xdr:row>29</xdr:row>
      <xdr:rowOff>95249</xdr:rowOff>
    </xdr:from>
    <xdr:to>
      <xdr:col>6</xdr:col>
      <xdr:colOff>4284994</xdr:colOff>
      <xdr:row>29</xdr:row>
      <xdr:rowOff>221277</xdr:rowOff>
    </xdr:to>
    <xdr:sp macro="" textlink="">
      <xdr:nvSpPr>
        <xdr:cNvPr id="138" name="Shape 71">
          <a:extLst>
            <a:ext uri="{FF2B5EF4-FFF2-40B4-BE49-F238E27FC236}">
              <a16:creationId xmlns:a16="http://schemas.microsoft.com/office/drawing/2014/main" id="{468E7C06-9558-432E-B328-6CAF1FB103AA}"/>
            </a:ext>
          </a:extLst>
        </xdr:cNvPr>
        <xdr:cNvSpPr/>
      </xdr:nvSpPr>
      <xdr:spPr>
        <a:xfrm>
          <a:off x="14004469" y="9286874"/>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rgbClr val="7030A0"/>
        </a:solidFill>
      </xdr:spPr>
    </xdr:sp>
    <xdr:clientData/>
  </xdr:twoCellAnchor>
  <xdr:twoCellAnchor>
    <xdr:from>
      <xdr:col>3</xdr:col>
      <xdr:colOff>435429</xdr:colOff>
      <xdr:row>80</xdr:row>
      <xdr:rowOff>81642</xdr:rowOff>
    </xdr:from>
    <xdr:to>
      <xdr:col>3</xdr:col>
      <xdr:colOff>780398</xdr:colOff>
      <xdr:row>81</xdr:row>
      <xdr:rowOff>17197</xdr:rowOff>
    </xdr:to>
    <xdr:pic>
      <xdr:nvPicPr>
        <xdr:cNvPr id="107" name="Graphic 106" descr="Soccer Goal with solid fill">
          <a:extLst>
            <a:ext uri="{FF2B5EF4-FFF2-40B4-BE49-F238E27FC236}">
              <a16:creationId xmlns:a16="http://schemas.microsoft.com/office/drawing/2014/main" id="{D01A47F5-1D53-4663-BF73-5896DE553D8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762000" y="7225392"/>
          <a:ext cx="344969" cy="234912"/>
        </a:xfrm>
        <a:prstGeom prst="rect">
          <a:avLst/>
        </a:prstGeom>
      </xdr:spPr>
    </xdr:pic>
    <xdr:clientData/>
  </xdr:twoCellAnchor>
  <xdr:oneCellAnchor>
    <xdr:from>
      <xdr:col>6</xdr:col>
      <xdr:colOff>4155616</xdr:colOff>
      <xdr:row>43</xdr:row>
      <xdr:rowOff>123824</xdr:rowOff>
    </xdr:from>
    <xdr:ext cx="129375" cy="126028"/>
    <xdr:sp macro="" textlink="">
      <xdr:nvSpPr>
        <xdr:cNvPr id="146" name="Shape 71">
          <a:extLst>
            <a:ext uri="{FF2B5EF4-FFF2-40B4-BE49-F238E27FC236}">
              <a16:creationId xmlns:a16="http://schemas.microsoft.com/office/drawing/2014/main" id="{68D1F048-7699-42CA-B893-3F08F1B5381A}"/>
            </a:ext>
          </a:extLst>
        </xdr:cNvPr>
        <xdr:cNvSpPr/>
      </xdr:nvSpPr>
      <xdr:spPr>
        <a:xfrm>
          <a:off x="13993580" y="14928395"/>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rgbClr val="FFC000"/>
        </a:solidFill>
      </xdr:spPr>
    </xdr:sp>
    <xdr:clientData/>
  </xdr:oneCellAnchor>
  <xdr:twoCellAnchor>
    <xdr:from>
      <xdr:col>3</xdr:col>
      <xdr:colOff>796636</xdr:colOff>
      <xdr:row>110</xdr:row>
      <xdr:rowOff>186762</xdr:rowOff>
    </xdr:from>
    <xdr:to>
      <xdr:col>3</xdr:col>
      <xdr:colOff>1065380</xdr:colOff>
      <xdr:row>111</xdr:row>
      <xdr:rowOff>138548</xdr:rowOff>
    </xdr:to>
    <xdr:pic>
      <xdr:nvPicPr>
        <xdr:cNvPr id="149" name="Graphic 148" descr="Home with solid fill">
          <a:extLst>
            <a:ext uri="{FF2B5EF4-FFF2-40B4-BE49-F238E27FC236}">
              <a16:creationId xmlns:a16="http://schemas.microsoft.com/office/drawing/2014/main" id="{E4AD1797-6787-4072-AC08-6981D9FF0A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1772" y="36762762"/>
          <a:ext cx="268744" cy="263513"/>
        </a:xfrm>
        <a:prstGeom prst="rect">
          <a:avLst/>
        </a:prstGeom>
      </xdr:spPr>
    </xdr:pic>
    <xdr:clientData/>
  </xdr:twoCellAnchor>
  <xdr:twoCellAnchor editAs="oneCell">
    <xdr:from>
      <xdr:col>0</xdr:col>
      <xdr:colOff>0</xdr:colOff>
      <xdr:row>0</xdr:row>
      <xdr:rowOff>1</xdr:rowOff>
    </xdr:from>
    <xdr:to>
      <xdr:col>5</xdr:col>
      <xdr:colOff>6896</xdr:colOff>
      <xdr:row>1</xdr:row>
      <xdr:rowOff>5555</xdr:rowOff>
    </xdr:to>
    <xdr:pic>
      <xdr:nvPicPr>
        <xdr:cNvPr id="140" name="Picture 139">
          <a:extLst>
            <a:ext uri="{FF2B5EF4-FFF2-40B4-BE49-F238E27FC236}">
              <a16:creationId xmlns:a16="http://schemas.microsoft.com/office/drawing/2014/main" id="{53046717-7C41-105A-3D01-886B884DE722}"/>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sharpenSoften amount="25000"/>
                  </a14:imgEffect>
                </a14:imgLayer>
              </a14:imgProps>
            </a:ext>
          </a:extLst>
        </a:blip>
        <a:stretch>
          <a:fillRect/>
        </a:stretch>
      </xdr:blipFill>
      <xdr:spPr>
        <a:xfrm>
          <a:off x="0" y="1"/>
          <a:ext cx="5136173" cy="1558862"/>
        </a:xfrm>
        <a:prstGeom prst="rect">
          <a:avLst/>
        </a:prstGeom>
      </xdr:spPr>
    </xdr:pic>
    <xdr:clientData/>
  </xdr:twoCellAnchor>
  <xdr:oneCellAnchor>
    <xdr:from>
      <xdr:col>6</xdr:col>
      <xdr:colOff>4140323</xdr:colOff>
      <xdr:row>40</xdr:row>
      <xdr:rowOff>111423</xdr:rowOff>
    </xdr:from>
    <xdr:ext cx="129375" cy="126028"/>
    <xdr:sp macro="" textlink="">
      <xdr:nvSpPr>
        <xdr:cNvPr id="103" name="Shape 71">
          <a:extLst>
            <a:ext uri="{FF2B5EF4-FFF2-40B4-BE49-F238E27FC236}">
              <a16:creationId xmlns:a16="http://schemas.microsoft.com/office/drawing/2014/main" id="{802AD647-774B-4307-B60A-FCAA3BD42097}"/>
            </a:ext>
          </a:extLst>
        </xdr:cNvPr>
        <xdr:cNvSpPr/>
      </xdr:nvSpPr>
      <xdr:spPr>
        <a:xfrm>
          <a:off x="13127441" y="14992835"/>
          <a:ext cx="129375" cy="126028"/>
        </a:xfrm>
        <a:custGeom>
          <a:avLst/>
          <a:gdLst/>
          <a:ahLst/>
          <a:cxnLst/>
          <a:rect l="0" t="0" r="0" b="0"/>
          <a:pathLst>
            <a:path w="68580" h="68580">
              <a:moveTo>
                <a:pt x="0" y="0"/>
              </a:moveTo>
              <a:lnTo>
                <a:pt x="68579" y="0"/>
              </a:lnTo>
              <a:lnTo>
                <a:pt x="68579" y="68579"/>
              </a:lnTo>
              <a:lnTo>
                <a:pt x="0" y="68579"/>
              </a:lnTo>
              <a:lnTo>
                <a:pt x="0" y="0"/>
              </a:lnTo>
              <a:close/>
            </a:path>
          </a:pathLst>
        </a:custGeom>
        <a:solidFill>
          <a:schemeClr val="tx1"/>
        </a:solidFill>
      </xdr:spPr>
    </xdr:sp>
    <xdr:clientData/>
  </xdr:oneCellAnchor>
  <xdr:twoCellAnchor>
    <xdr:from>
      <xdr:col>3</xdr:col>
      <xdr:colOff>96210</xdr:colOff>
      <xdr:row>37</xdr:row>
      <xdr:rowOff>82603</xdr:rowOff>
    </xdr:from>
    <xdr:to>
      <xdr:col>3</xdr:col>
      <xdr:colOff>387566</xdr:colOff>
      <xdr:row>37</xdr:row>
      <xdr:rowOff>373959</xdr:rowOff>
    </xdr:to>
    <xdr:pic>
      <xdr:nvPicPr>
        <xdr:cNvPr id="120" name="Graphic 119" descr="Golf Flag In Hole with solid fill">
          <a:extLst>
            <a:ext uri="{FF2B5EF4-FFF2-40B4-BE49-F238E27FC236}">
              <a16:creationId xmlns:a16="http://schemas.microsoft.com/office/drawing/2014/main" id="{DEDC0DD5-1BAE-4421-BCF1-6FF490555A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27531" y="13390389"/>
          <a:ext cx="291356" cy="291356"/>
        </a:xfrm>
        <a:prstGeom prst="rect">
          <a:avLst/>
        </a:prstGeom>
      </xdr:spPr>
    </xdr:pic>
    <xdr:clientData/>
  </xdr:twoCellAnchor>
  <xdr:twoCellAnchor>
    <xdr:from>
      <xdr:col>3</xdr:col>
      <xdr:colOff>789214</xdr:colOff>
      <xdr:row>64</xdr:row>
      <xdr:rowOff>29851</xdr:rowOff>
    </xdr:from>
    <xdr:to>
      <xdr:col>3</xdr:col>
      <xdr:colOff>1057958</xdr:colOff>
      <xdr:row>64</xdr:row>
      <xdr:rowOff>291183</xdr:rowOff>
    </xdr:to>
    <xdr:pic>
      <xdr:nvPicPr>
        <xdr:cNvPr id="161" name="Graphic 160" descr="Home with solid fill">
          <a:extLst>
            <a:ext uri="{FF2B5EF4-FFF2-40B4-BE49-F238E27FC236}">
              <a16:creationId xmlns:a16="http://schemas.microsoft.com/office/drawing/2014/main" id="{DF51A3AC-870A-440B-853B-48A9DE0887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0535" y="25053387"/>
          <a:ext cx="268744" cy="261332"/>
        </a:xfrm>
        <a:prstGeom prst="rect">
          <a:avLst/>
        </a:prstGeom>
      </xdr:spPr>
    </xdr:pic>
    <xdr:clientData/>
  </xdr:twoCellAnchor>
  <xdr:twoCellAnchor>
    <xdr:from>
      <xdr:col>3</xdr:col>
      <xdr:colOff>0</xdr:colOff>
      <xdr:row>74</xdr:row>
      <xdr:rowOff>139532</xdr:rowOff>
    </xdr:from>
    <xdr:to>
      <xdr:col>3</xdr:col>
      <xdr:colOff>291356</xdr:colOff>
      <xdr:row>75</xdr:row>
      <xdr:rowOff>131968</xdr:rowOff>
    </xdr:to>
    <xdr:pic>
      <xdr:nvPicPr>
        <xdr:cNvPr id="154" name="Graphic 153" descr="Golf Flag In Hole with solid fill">
          <a:extLst>
            <a:ext uri="{FF2B5EF4-FFF2-40B4-BE49-F238E27FC236}">
              <a16:creationId xmlns:a16="http://schemas.microsoft.com/office/drawing/2014/main" id="{0AF62939-EAF5-4FDA-BCCF-49B1A9024A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5136" y="29840214"/>
          <a:ext cx="291356" cy="304163"/>
        </a:xfrm>
        <a:prstGeom prst="rect">
          <a:avLst/>
        </a:prstGeom>
      </xdr:spPr>
    </xdr:pic>
    <xdr:clientData/>
  </xdr:twoCellAnchor>
  <xdr:twoCellAnchor>
    <xdr:from>
      <xdr:col>3</xdr:col>
      <xdr:colOff>700994</xdr:colOff>
      <xdr:row>74</xdr:row>
      <xdr:rowOff>138545</xdr:rowOff>
    </xdr:from>
    <xdr:to>
      <xdr:col>3</xdr:col>
      <xdr:colOff>969738</xdr:colOff>
      <xdr:row>75</xdr:row>
      <xdr:rowOff>107618</xdr:rowOff>
    </xdr:to>
    <xdr:pic>
      <xdr:nvPicPr>
        <xdr:cNvPr id="155" name="Graphic 154" descr="Home with solid fill">
          <a:extLst>
            <a:ext uri="{FF2B5EF4-FFF2-40B4-BE49-F238E27FC236}">
              <a16:creationId xmlns:a16="http://schemas.microsoft.com/office/drawing/2014/main" id="{ECC21B3B-A80F-4DD0-A412-3DA545EC1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6130" y="29839227"/>
          <a:ext cx="268744" cy="280800"/>
        </a:xfrm>
        <a:prstGeom prst="rect">
          <a:avLst/>
        </a:prstGeom>
      </xdr:spPr>
    </xdr:pic>
    <xdr:clientData/>
  </xdr:twoCellAnchor>
  <xdr:twoCellAnchor>
    <xdr:from>
      <xdr:col>3</xdr:col>
      <xdr:colOff>332415</xdr:colOff>
      <xdr:row>74</xdr:row>
      <xdr:rowOff>191639</xdr:rowOff>
    </xdr:from>
    <xdr:to>
      <xdr:col>3</xdr:col>
      <xdr:colOff>677384</xdr:colOff>
      <xdr:row>75</xdr:row>
      <xdr:rowOff>123994</xdr:rowOff>
    </xdr:to>
    <xdr:pic>
      <xdr:nvPicPr>
        <xdr:cNvPr id="162" name="Graphic 161" descr="Soccer Goal with solid fill">
          <a:extLst>
            <a:ext uri="{FF2B5EF4-FFF2-40B4-BE49-F238E27FC236}">
              <a16:creationId xmlns:a16="http://schemas.microsoft.com/office/drawing/2014/main" id="{7D2271DA-1836-4345-8964-CC2C43CFAAD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557551" y="29892321"/>
          <a:ext cx="344969" cy="244082"/>
        </a:xfrm>
        <a:prstGeom prst="rect">
          <a:avLst/>
        </a:prstGeom>
      </xdr:spPr>
    </xdr:pic>
    <xdr:clientData/>
  </xdr:twoCellAnchor>
  <xdr:twoCellAnchor>
    <xdr:from>
      <xdr:col>3</xdr:col>
      <xdr:colOff>86590</xdr:colOff>
      <xdr:row>34</xdr:row>
      <xdr:rowOff>14568</xdr:rowOff>
    </xdr:from>
    <xdr:to>
      <xdr:col>3</xdr:col>
      <xdr:colOff>377946</xdr:colOff>
      <xdr:row>34</xdr:row>
      <xdr:rowOff>305924</xdr:rowOff>
    </xdr:to>
    <xdr:pic>
      <xdr:nvPicPr>
        <xdr:cNvPr id="166" name="Graphic 165" descr="Golf Flag In Hole with solid fill">
          <a:extLst>
            <a:ext uri="{FF2B5EF4-FFF2-40B4-BE49-F238E27FC236}">
              <a16:creationId xmlns:a16="http://schemas.microsoft.com/office/drawing/2014/main" id="{0ECEFD25-33F7-4387-A302-8DDDF36A2C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15045" y="13245659"/>
          <a:ext cx="291356" cy="291356"/>
        </a:xfrm>
        <a:prstGeom prst="rect">
          <a:avLst/>
        </a:prstGeom>
      </xdr:spPr>
    </xdr:pic>
    <xdr:clientData/>
  </xdr:twoCellAnchor>
  <xdr:twoCellAnchor>
    <xdr:from>
      <xdr:col>3</xdr:col>
      <xdr:colOff>787584</xdr:colOff>
      <xdr:row>34</xdr:row>
      <xdr:rowOff>13581</xdr:rowOff>
    </xdr:from>
    <xdr:to>
      <xdr:col>3</xdr:col>
      <xdr:colOff>1056328</xdr:colOff>
      <xdr:row>34</xdr:row>
      <xdr:rowOff>285213</xdr:rowOff>
    </xdr:to>
    <xdr:pic>
      <xdr:nvPicPr>
        <xdr:cNvPr id="167" name="Graphic 166" descr="Home with solid fill">
          <a:extLst>
            <a:ext uri="{FF2B5EF4-FFF2-40B4-BE49-F238E27FC236}">
              <a16:creationId xmlns:a16="http://schemas.microsoft.com/office/drawing/2014/main" id="{4AE372BD-51D0-4150-9CC8-EFA95305F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16039" y="13244672"/>
          <a:ext cx="268744" cy="271632"/>
        </a:xfrm>
        <a:prstGeom prst="rect">
          <a:avLst/>
        </a:prstGeom>
      </xdr:spPr>
    </xdr:pic>
    <xdr:clientData/>
  </xdr:twoCellAnchor>
  <xdr:twoCellAnchor>
    <xdr:from>
      <xdr:col>3</xdr:col>
      <xdr:colOff>380673</xdr:colOff>
      <xdr:row>34</xdr:row>
      <xdr:rowOff>51110</xdr:rowOff>
    </xdr:from>
    <xdr:to>
      <xdr:col>3</xdr:col>
      <xdr:colOff>725642</xdr:colOff>
      <xdr:row>34</xdr:row>
      <xdr:rowOff>293325</xdr:rowOff>
    </xdr:to>
    <xdr:pic>
      <xdr:nvPicPr>
        <xdr:cNvPr id="169" name="Graphic 168" descr="Soccer Goal with solid fill">
          <a:extLst>
            <a:ext uri="{FF2B5EF4-FFF2-40B4-BE49-F238E27FC236}">
              <a16:creationId xmlns:a16="http://schemas.microsoft.com/office/drawing/2014/main" id="{0CCA44BF-5C06-43A5-B0A2-753FCAAE85D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2909128" y="13282201"/>
          <a:ext cx="344969" cy="242215"/>
        </a:xfrm>
        <a:prstGeom prst="rect">
          <a:avLst/>
        </a:prstGeom>
      </xdr:spPr>
    </xdr:pic>
    <xdr:clientData/>
  </xdr:twoCellAnchor>
  <xdr:twoCellAnchor>
    <xdr:from>
      <xdr:col>3</xdr:col>
      <xdr:colOff>103908</xdr:colOff>
      <xdr:row>30</xdr:row>
      <xdr:rowOff>170430</xdr:rowOff>
    </xdr:from>
    <xdr:to>
      <xdr:col>3</xdr:col>
      <xdr:colOff>395264</xdr:colOff>
      <xdr:row>31</xdr:row>
      <xdr:rowOff>162427</xdr:rowOff>
    </xdr:to>
    <xdr:pic>
      <xdr:nvPicPr>
        <xdr:cNvPr id="170" name="Graphic 169" descr="Golf Flag In Hole with solid fill">
          <a:extLst>
            <a:ext uri="{FF2B5EF4-FFF2-40B4-BE49-F238E27FC236}">
              <a16:creationId xmlns:a16="http://schemas.microsoft.com/office/drawing/2014/main" id="{91644B19-4240-49E4-BACA-CA0328758D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32363" y="11531157"/>
          <a:ext cx="291356" cy="303725"/>
        </a:xfrm>
        <a:prstGeom prst="rect">
          <a:avLst/>
        </a:prstGeom>
      </xdr:spPr>
    </xdr:pic>
    <xdr:clientData/>
  </xdr:twoCellAnchor>
  <xdr:twoCellAnchor>
    <xdr:from>
      <xdr:col>3</xdr:col>
      <xdr:colOff>804902</xdr:colOff>
      <xdr:row>30</xdr:row>
      <xdr:rowOff>169443</xdr:rowOff>
    </xdr:from>
    <xdr:to>
      <xdr:col>3</xdr:col>
      <xdr:colOff>1073646</xdr:colOff>
      <xdr:row>31</xdr:row>
      <xdr:rowOff>141716</xdr:rowOff>
    </xdr:to>
    <xdr:pic>
      <xdr:nvPicPr>
        <xdr:cNvPr id="171" name="Graphic 170" descr="Home with solid fill">
          <a:extLst>
            <a:ext uri="{FF2B5EF4-FFF2-40B4-BE49-F238E27FC236}">
              <a16:creationId xmlns:a16="http://schemas.microsoft.com/office/drawing/2014/main" id="{8E1C889A-A829-4F4E-AEDC-74B041C32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357" y="11530170"/>
          <a:ext cx="268744" cy="284001"/>
        </a:xfrm>
        <a:prstGeom prst="rect">
          <a:avLst/>
        </a:prstGeom>
      </xdr:spPr>
    </xdr:pic>
    <xdr:clientData/>
  </xdr:twoCellAnchor>
  <xdr:twoCellAnchor>
    <xdr:from>
      <xdr:col>3</xdr:col>
      <xdr:colOff>407283</xdr:colOff>
      <xdr:row>30</xdr:row>
      <xdr:rowOff>206971</xdr:rowOff>
    </xdr:from>
    <xdr:to>
      <xdr:col>3</xdr:col>
      <xdr:colOff>752252</xdr:colOff>
      <xdr:row>31</xdr:row>
      <xdr:rowOff>149827</xdr:rowOff>
    </xdr:to>
    <xdr:pic>
      <xdr:nvPicPr>
        <xdr:cNvPr id="173" name="Graphic 172" descr="Soccer Goal with solid fill">
          <a:extLst>
            <a:ext uri="{FF2B5EF4-FFF2-40B4-BE49-F238E27FC236}">
              <a16:creationId xmlns:a16="http://schemas.microsoft.com/office/drawing/2014/main" id="{AA4B1AA6-61FD-4931-B4EA-230CB534021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t="14286" b="15385"/>
        <a:stretch/>
      </xdr:blipFill>
      <xdr:spPr>
        <a:xfrm>
          <a:off x="2935738" y="11567698"/>
          <a:ext cx="344969" cy="254584"/>
        </a:xfrm>
        <a:prstGeom prst="rect">
          <a:avLst/>
        </a:prstGeom>
      </xdr:spPr>
    </xdr:pic>
    <xdr:clientData/>
  </xdr:twoCellAnchor>
  <xdr:twoCellAnchor>
    <xdr:from>
      <xdr:col>3</xdr:col>
      <xdr:colOff>813953</xdr:colOff>
      <xdr:row>61</xdr:row>
      <xdr:rowOff>190502</xdr:rowOff>
    </xdr:from>
    <xdr:to>
      <xdr:col>3</xdr:col>
      <xdr:colOff>1082697</xdr:colOff>
      <xdr:row>62</xdr:row>
      <xdr:rowOff>140106</xdr:rowOff>
    </xdr:to>
    <xdr:pic>
      <xdr:nvPicPr>
        <xdr:cNvPr id="174" name="Graphic 173" descr="Home with solid fill">
          <a:extLst>
            <a:ext uri="{FF2B5EF4-FFF2-40B4-BE49-F238E27FC236}">
              <a16:creationId xmlns:a16="http://schemas.microsoft.com/office/drawing/2014/main" id="{9F55F02A-A648-45E0-92C9-56199E4F0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42408" y="21474547"/>
          <a:ext cx="268744" cy="2613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EE4B9F-C28F-46A2-B4CD-F1B73F326A00}" name="RebateRef" displayName="RebateRef" ref="A3:M125" totalsRowShown="0" headerRowDxfId="15" headerRowBorderDxfId="14" tableBorderDxfId="13" headerRowCellStyle="Currency">
  <autoFilter ref="A3:M125" xr:uid="{35EE4B9F-C28F-46A2-B4CD-F1B73F326A00}"/>
  <tableColumns count="13">
    <tableColumn id="1" xr3:uid="{9EAC19B6-47B7-4F57-94E6-982D30CF93A8}" name="Item Number" dataDxfId="12"/>
    <tableColumn id="2" xr3:uid="{0C0F5B9B-0061-4D64-8CED-39012530AA72}" name="Product Description" dataDxfId="11"/>
    <tableColumn id="3" xr3:uid="{194987D6-9352-4D5A-A7D7-A9D69EA9B454}" name="Product" dataDxfId="10"/>
    <tableColumn id="4" xr3:uid="{9807C728-2482-47C1-91D7-56727D7CE631}" name="Unit Size" dataDxfId="9"/>
    <tableColumn id="5" xr3:uid="{1449C864-B786-41CE-AE8A-2A0A1395DBBF}" name="Column1" dataDxfId="8">
      <calculatedColumnFormula>CONCATENATE(C4,D4,$A$1)</calculatedColumnFormula>
    </tableColumn>
    <tableColumn id="6" xr3:uid="{B71B821E-E1AF-44A4-8D4F-D2541D49ED44}" name="Column2" dataDxfId="7">
      <calculatedColumnFormula>CONCATENATE(C4,D4,$A$2)</calculatedColumnFormula>
    </tableColumn>
    <tableColumn id="7" xr3:uid="{ADCC06DE-EB8E-43F5-9C2B-5C08013D78B2}" name="P1 Rebate/Unit" dataDxfId="6" dataCellStyle="Currency"/>
    <tableColumn id="8" xr3:uid="{EC74BBF5-2729-49B8-843C-17CF43AA4E2B}" name="P1 Volume Rebate/Unit" dataDxfId="5" dataCellStyle="Comma"/>
    <tableColumn id="9" xr3:uid="{750DA664-6197-4A15-80BE-D1E4DAFC3E76}" name="Bundle Rebate/Unit" dataDxfId="4" dataCellStyle="Comma"/>
    <tableColumn id="10" xr3:uid="{7C2AC3BB-7720-43ED-B6F6-433BDBAA35F5}" name="Total Rebate" dataDxfId="3" dataCellStyle="Currency">
      <calculatedColumnFormula>G4*I4</calculatedColumnFormula>
    </tableColumn>
    <tableColumn id="11" xr3:uid="{48353B6F-ED4B-4255-A538-F85220BA44E3}" name="P2 Rebate/Unit" dataDxfId="2" dataCellStyle="Currency"/>
    <tableColumn id="12" xr3:uid="{D4CADC18-AC68-439A-81AE-5B092483C05A}" name="Quantity" dataDxfId="1" dataCellStyle="Comma"/>
    <tableColumn id="13" xr3:uid="{59F50CE2-FDF2-4C71-A5C3-F4735AA84E05}" name="Total Rebate3" dataDxfId="0" dataCellStyle="Currency">
      <calculatedColumnFormula>K4*L4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ufarm.com/ustur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AD96-4001-4F6C-A274-3F02F0128FDD}">
  <sheetPr codeName="Sheet1">
    <pageSetUpPr fitToPage="1"/>
  </sheetPr>
  <dimension ref="A1:AP125"/>
  <sheetViews>
    <sheetView showGridLines="0" tabSelected="1" topLeftCell="C1" zoomScale="55" zoomScaleNormal="55" workbookViewId="0">
      <selection activeCell="H7" sqref="H7"/>
    </sheetView>
  </sheetViews>
  <sheetFormatPr defaultRowHeight="12.75" x14ac:dyDescent="0.2"/>
  <cols>
    <col min="1" max="1" width="14.5" style="83" hidden="1" customWidth="1"/>
    <col min="2" max="2" width="15.75" style="83" hidden="1" customWidth="1"/>
    <col min="3" max="3" width="3" style="83" customWidth="1"/>
    <col min="4" max="4" width="19" style="83" customWidth="1"/>
    <col min="5" max="5" width="45.25" style="99" customWidth="1"/>
    <col min="6" max="6" width="50.75" style="99" customWidth="1"/>
    <col min="7" max="7" width="57" style="99" customWidth="1"/>
    <col min="8" max="8" width="17.375" style="92" customWidth="1"/>
    <col min="9" max="9" width="19" style="93" customWidth="1"/>
    <col min="10" max="10" width="23.25" style="94" customWidth="1"/>
    <col min="11" max="11" width="18.875" style="94" customWidth="1"/>
    <col min="12" max="12" width="21.5" style="94" customWidth="1"/>
    <col min="13" max="13" width="16.625" style="83" customWidth="1"/>
    <col min="14" max="14" width="22.625" style="83" customWidth="1"/>
    <col min="15" max="15" width="20.375" style="83" bestFit="1" customWidth="1"/>
    <col min="16" max="16384" width="9" style="83"/>
  </cols>
  <sheetData>
    <row r="1" spans="1:42" ht="122.25" customHeight="1" thickBot="1" x14ac:dyDescent="0.25">
      <c r="C1" s="84"/>
      <c r="D1" s="85"/>
      <c r="E1" s="86"/>
      <c r="F1" s="215" t="s">
        <v>278</v>
      </c>
      <c r="G1" s="215"/>
      <c r="H1" s="215"/>
      <c r="I1" s="215"/>
      <c r="J1" s="215"/>
      <c r="K1" s="215"/>
      <c r="L1" s="215"/>
      <c r="M1" s="215"/>
      <c r="N1" s="84"/>
      <c r="O1" s="84"/>
      <c r="Q1" s="87"/>
      <c r="R1" s="88"/>
      <c r="S1" s="88"/>
      <c r="T1" s="88"/>
      <c r="U1" s="88"/>
      <c r="V1" s="88"/>
      <c r="W1" s="88"/>
      <c r="X1" s="88"/>
      <c r="Y1" s="88"/>
      <c r="Z1" s="88"/>
      <c r="AA1" s="88"/>
      <c r="AB1" s="88"/>
      <c r="AC1" s="88"/>
      <c r="AD1" s="88"/>
      <c r="AE1" s="88"/>
      <c r="AF1" s="88"/>
      <c r="AG1" s="88"/>
      <c r="AH1" s="88"/>
      <c r="AI1" s="88"/>
      <c r="AJ1" s="88"/>
      <c r="AK1" s="88"/>
      <c r="AL1" s="88"/>
      <c r="AM1" s="88"/>
      <c r="AN1" s="88"/>
      <c r="AO1" s="88"/>
      <c r="AP1" s="88"/>
    </row>
    <row r="2" spans="1:42" ht="25.5" customHeight="1" x14ac:dyDescent="0.25">
      <c r="C2" s="89"/>
      <c r="D2" s="90" t="s">
        <v>129</v>
      </c>
      <c r="E2" s="90"/>
      <c r="F2" s="91"/>
      <c r="G2" s="91"/>
      <c r="L2" s="95" t="s">
        <v>151</v>
      </c>
      <c r="M2" s="222"/>
      <c r="N2" s="222"/>
      <c r="O2" s="222"/>
      <c r="P2" s="94"/>
      <c r="R2" s="88"/>
      <c r="S2" s="88"/>
      <c r="T2" s="88"/>
      <c r="U2" s="88"/>
      <c r="V2" s="88"/>
      <c r="W2" s="88"/>
      <c r="X2" s="88"/>
      <c r="Y2" s="88"/>
      <c r="Z2" s="88"/>
      <c r="AA2" s="88"/>
      <c r="AB2" s="88"/>
      <c r="AC2" s="88"/>
      <c r="AD2" s="88"/>
      <c r="AE2" s="88"/>
      <c r="AF2" s="88"/>
      <c r="AG2" s="88"/>
      <c r="AH2" s="88"/>
      <c r="AI2" s="88"/>
      <c r="AJ2" s="88"/>
      <c r="AK2" s="88"/>
      <c r="AL2" s="88"/>
      <c r="AM2" s="88"/>
      <c r="AN2" s="88"/>
      <c r="AO2" s="88"/>
      <c r="AP2" s="88"/>
    </row>
    <row r="3" spans="1:42" ht="25.5" customHeight="1" x14ac:dyDescent="0.25">
      <c r="D3" s="223" t="s">
        <v>154</v>
      </c>
      <c r="E3" s="223"/>
      <c r="F3" s="96" t="s">
        <v>153</v>
      </c>
      <c r="G3" s="97"/>
      <c r="L3" s="95" t="s">
        <v>152</v>
      </c>
      <c r="M3" s="224"/>
      <c r="N3" s="224"/>
      <c r="O3" s="224"/>
      <c r="P3" s="94"/>
    </row>
    <row r="4" spans="1:42" ht="19.5" customHeight="1" x14ac:dyDescent="0.25">
      <c r="D4" s="98" t="s">
        <v>144</v>
      </c>
      <c r="T4" s="94"/>
    </row>
    <row r="5" spans="1:42" ht="27" customHeight="1" x14ac:dyDescent="0.25">
      <c r="A5" s="100" t="s">
        <v>125</v>
      </c>
      <c r="D5" s="99"/>
      <c r="E5" s="101" t="s">
        <v>148</v>
      </c>
      <c r="F5" s="83"/>
      <c r="H5" s="83"/>
      <c r="I5" s="102"/>
      <c r="J5" s="103"/>
      <c r="K5" s="103"/>
      <c r="L5" s="104"/>
      <c r="M5" s="103"/>
      <c r="N5" s="105"/>
      <c r="P5" s="106"/>
      <c r="S5" s="107"/>
    </row>
    <row r="6" spans="1:42" ht="27" customHeight="1" x14ac:dyDescent="0.25">
      <c r="A6" s="108" t="s">
        <v>126</v>
      </c>
      <c r="D6" s="99"/>
      <c r="E6" s="101" t="s">
        <v>167</v>
      </c>
      <c r="F6" s="109" t="s">
        <v>128</v>
      </c>
      <c r="H6" s="110" t="s">
        <v>159</v>
      </c>
      <c r="I6" s="102"/>
      <c r="J6" s="103"/>
      <c r="K6" s="103"/>
      <c r="L6" s="104"/>
      <c r="M6" s="103"/>
      <c r="N6" s="105"/>
      <c r="P6" s="106"/>
      <c r="S6" s="107"/>
    </row>
    <row r="7" spans="1:42" ht="23.25" customHeight="1" x14ac:dyDescent="0.25">
      <c r="D7" s="99"/>
      <c r="E7" s="101" t="s">
        <v>150</v>
      </c>
      <c r="F7" s="111" t="s">
        <v>285</v>
      </c>
      <c r="H7" s="46" t="s">
        <v>125</v>
      </c>
      <c r="N7" s="112" t="s">
        <v>2</v>
      </c>
      <c r="O7" s="113">
        <f>SUM($O$20:$O$115)</f>
        <v>0</v>
      </c>
      <c r="P7" s="114"/>
      <c r="S7" s="93"/>
    </row>
    <row r="8" spans="1:42" ht="27" customHeight="1" x14ac:dyDescent="0.2">
      <c r="D8" s="99"/>
      <c r="E8" s="101"/>
      <c r="F8" s="111" t="s">
        <v>286</v>
      </c>
      <c r="J8" s="115"/>
      <c r="K8" s="99"/>
      <c r="N8" s="116"/>
      <c r="O8" s="117"/>
      <c r="S8" s="93"/>
    </row>
    <row r="9" spans="1:42" ht="27.75" customHeight="1" x14ac:dyDescent="0.3">
      <c r="D9" s="118"/>
      <c r="E9" s="101"/>
      <c r="F9" s="119" t="s">
        <v>279</v>
      </c>
      <c r="M9" s="120"/>
      <c r="N9" s="121"/>
    </row>
    <row r="10" spans="1:42" ht="27.75" customHeight="1" x14ac:dyDescent="0.3">
      <c r="D10" s="118"/>
      <c r="E10" s="122"/>
      <c r="F10" s="119" t="s">
        <v>284</v>
      </c>
      <c r="M10" s="120"/>
      <c r="N10" s="121"/>
    </row>
    <row r="11" spans="1:42" ht="15.75" x14ac:dyDescent="0.2">
      <c r="F11" s="83"/>
      <c r="G11" s="154" t="s">
        <v>249</v>
      </c>
      <c r="H11" s="214" t="s">
        <v>250</v>
      </c>
      <c r="I11" s="214"/>
      <c r="J11" s="214"/>
      <c r="K11" s="155"/>
      <c r="L11" s="156" t="s">
        <v>251</v>
      </c>
    </row>
    <row r="12" spans="1:42" ht="30.75" x14ac:dyDescent="0.2">
      <c r="G12" s="180">
        <v>1</v>
      </c>
      <c r="H12" s="231" t="s">
        <v>295</v>
      </c>
      <c r="I12" s="232"/>
      <c r="J12" s="233"/>
      <c r="K12" s="182" t="s">
        <v>321</v>
      </c>
      <c r="L12" s="159" t="s">
        <v>311</v>
      </c>
    </row>
    <row r="13" spans="1:42" ht="30.75" x14ac:dyDescent="0.2">
      <c r="G13" s="181">
        <v>2</v>
      </c>
      <c r="H13" s="234"/>
      <c r="I13" s="235"/>
      <c r="J13" s="236"/>
      <c r="K13" s="182" t="s">
        <v>321</v>
      </c>
      <c r="L13" s="159" t="s">
        <v>312</v>
      </c>
    </row>
    <row r="14" spans="1:42" ht="46.5" x14ac:dyDescent="0.2">
      <c r="G14" s="158">
        <v>3</v>
      </c>
      <c r="H14" s="237"/>
      <c r="I14" s="238"/>
      <c r="J14" s="239"/>
      <c r="K14" s="182" t="s">
        <v>321</v>
      </c>
      <c r="L14" s="159" t="s">
        <v>313</v>
      </c>
    </row>
    <row r="15" spans="1:42" ht="30.75" x14ac:dyDescent="0.2">
      <c r="G15" s="160">
        <v>4</v>
      </c>
      <c r="H15" s="211" t="s">
        <v>315</v>
      </c>
      <c r="I15" s="212"/>
      <c r="J15" s="213"/>
      <c r="K15" s="183" t="s">
        <v>321</v>
      </c>
      <c r="L15" s="161" t="s">
        <v>314</v>
      </c>
    </row>
    <row r="16" spans="1:42" ht="30.75" x14ac:dyDescent="0.2">
      <c r="G16" s="157">
        <v>5</v>
      </c>
      <c r="H16" s="211" t="s">
        <v>293</v>
      </c>
      <c r="I16" s="212"/>
      <c r="J16" s="213"/>
      <c r="K16" s="183" t="s">
        <v>321</v>
      </c>
      <c r="L16" s="159" t="s">
        <v>294</v>
      </c>
    </row>
    <row r="17" spans="1:15" ht="11.25" customHeight="1" x14ac:dyDescent="0.3">
      <c r="D17" s="118"/>
      <c r="E17" s="122"/>
      <c r="F17" s="119"/>
      <c r="M17" s="120"/>
    </row>
    <row r="18" spans="1:15" s="126" customFormat="1" ht="64.5" customHeight="1" x14ac:dyDescent="0.2">
      <c r="A18" s="123" t="s">
        <v>57</v>
      </c>
      <c r="B18" s="124" t="s">
        <v>1</v>
      </c>
      <c r="C18" s="125"/>
      <c r="D18" s="41" t="s">
        <v>143</v>
      </c>
      <c r="E18" s="41" t="s">
        <v>94</v>
      </c>
      <c r="F18" s="42" t="s">
        <v>182</v>
      </c>
      <c r="G18" s="41" t="s">
        <v>58</v>
      </c>
      <c r="H18" s="38" t="s">
        <v>156</v>
      </c>
      <c r="I18" s="41" t="s">
        <v>127</v>
      </c>
      <c r="J18" s="42" t="s">
        <v>139</v>
      </c>
      <c r="K18" s="42" t="s">
        <v>140</v>
      </c>
      <c r="L18" s="41" t="s">
        <v>141</v>
      </c>
      <c r="M18" s="38" t="s">
        <v>157</v>
      </c>
      <c r="N18" s="81" t="s">
        <v>181</v>
      </c>
      <c r="O18" s="82" t="s">
        <v>161</v>
      </c>
    </row>
    <row r="19" spans="1:15" s="126" customFormat="1" ht="15.75" thickBot="1" x14ac:dyDescent="0.3">
      <c r="A19" s="127"/>
      <c r="B19" s="128" t="s">
        <v>52</v>
      </c>
      <c r="C19" s="129"/>
      <c r="D19" s="47"/>
      <c r="E19" s="48" t="s">
        <v>52</v>
      </c>
      <c r="F19" s="48"/>
      <c r="G19" s="48"/>
      <c r="H19" s="48"/>
      <c r="I19" s="48"/>
      <c r="J19" s="48"/>
      <c r="K19" s="48"/>
      <c r="L19" s="48"/>
      <c r="M19" s="48"/>
      <c r="N19" s="48"/>
      <c r="O19" s="48"/>
    </row>
    <row r="20" spans="1:15" ht="24" customHeight="1" x14ac:dyDescent="0.2">
      <c r="A20" s="127">
        <v>10571443</v>
      </c>
      <c r="B20" s="130" t="s">
        <v>133</v>
      </c>
      <c r="C20" s="131"/>
      <c r="D20" s="225"/>
      <c r="E20" s="219" t="s">
        <v>184</v>
      </c>
      <c r="F20" s="228" t="s">
        <v>236</v>
      </c>
      <c r="G20" s="184" t="s">
        <v>185</v>
      </c>
      <c r="H20" s="43"/>
      <c r="I20" s="188">
        <f>IF($H$7="Period 1", VLOOKUP(E20&amp;G20&amp;$H$7,'Rebate Reference Table'!$E$5:$M$125,3,FALSE), VLOOKUP(E20&amp;G20&amp;$H$7,'Rebate Reference Table'!$F$5:$K$125,6,FALSE))</f>
        <v>8</v>
      </c>
      <c r="J20" s="189">
        <v>2</v>
      </c>
      <c r="K20" s="216" t="s">
        <v>166</v>
      </c>
      <c r="L20" s="189" t="s">
        <v>145</v>
      </c>
      <c r="M20" s="44"/>
      <c r="N20" s="193" t="str">
        <f>IFERROR(H20*24/M20,"")</f>
        <v/>
      </c>
      <c r="O20" s="194">
        <f t="shared" ref="O20:O23" si="0">H20*I20</f>
        <v>0</v>
      </c>
    </row>
    <row r="21" spans="1:15" ht="24" customHeight="1" x14ac:dyDescent="0.2">
      <c r="A21" s="127">
        <v>10571443</v>
      </c>
      <c r="B21" s="130" t="s">
        <v>134</v>
      </c>
      <c r="C21" s="131"/>
      <c r="D21" s="226"/>
      <c r="E21" s="220"/>
      <c r="F21" s="229"/>
      <c r="G21" s="185" t="s">
        <v>245</v>
      </c>
      <c r="H21" s="39"/>
      <c r="I21" s="190">
        <f>IF($H$7="Period 1", VLOOKUP(E20&amp;G21&amp;$H$7,'Rebate Reference Table'!$E$5:$M$125,4,FALSE), VLOOKUP(E20&amp;G21&amp;$H$7,'Rebate Reference Table'!$F$5:$K$125,6,FALSE))</f>
        <v>18</v>
      </c>
      <c r="J21" s="189">
        <v>2</v>
      </c>
      <c r="K21" s="217"/>
      <c r="L21" s="189" t="s">
        <v>145</v>
      </c>
      <c r="M21" s="40"/>
      <c r="N21" s="193" t="str">
        <f>IFERROR(H21*24/M21,"")</f>
        <v/>
      </c>
      <c r="O21" s="194">
        <f t="shared" si="0"/>
        <v>0</v>
      </c>
    </row>
    <row r="22" spans="1:15" ht="24" customHeight="1" x14ac:dyDescent="0.2">
      <c r="A22" s="127"/>
      <c r="B22" s="130"/>
      <c r="C22" s="131"/>
      <c r="D22" s="227"/>
      <c r="E22" s="221"/>
      <c r="F22" s="230"/>
      <c r="G22" s="185" t="s">
        <v>300</v>
      </c>
      <c r="H22" s="39"/>
      <c r="I22" s="190">
        <f>IF($H$7="Period 1", VLOOKUP(E20&amp;G22&amp;$H$7,'Rebate Reference Table'!$E$5:$M$125,5,FALSE), VLOOKUP(E20&amp;G22&amp;$H$7,'Rebate Reference Table'!$F$5:$K$125,6,FALSE))</f>
        <v>25</v>
      </c>
      <c r="J22" s="189">
        <v>2</v>
      </c>
      <c r="K22" s="218"/>
      <c r="L22" s="189" t="s">
        <v>145</v>
      </c>
      <c r="M22" s="40"/>
      <c r="N22" s="193" t="str">
        <f>IFERROR(H22*24/M22,"")</f>
        <v/>
      </c>
      <c r="O22" s="194">
        <f t="shared" ref="O22" si="1">H22*I22</f>
        <v>0</v>
      </c>
    </row>
    <row r="23" spans="1:15" ht="24" customHeight="1" x14ac:dyDescent="0.2">
      <c r="A23" s="127"/>
      <c r="B23" s="130"/>
      <c r="C23" s="131"/>
      <c r="D23" s="246"/>
      <c r="E23" s="243" t="s">
        <v>173</v>
      </c>
      <c r="F23" s="249" t="s">
        <v>236</v>
      </c>
      <c r="G23" s="132" t="s">
        <v>106</v>
      </c>
      <c r="H23" s="39"/>
      <c r="I23" s="133">
        <f>IF($H$7="Period 1", VLOOKUP(E23&amp;G23&amp;$H$7,'Rebate Reference Table'!$E$5:$M$125,3,FALSE), VLOOKUP(E23&amp;G23&amp;$H$7,'Rebate Reference Table'!$F$5:$K$125,6,FALSE))</f>
        <v>10</v>
      </c>
      <c r="J23" s="134">
        <v>2.2000000000000002</v>
      </c>
      <c r="K23" s="240" t="s">
        <v>168</v>
      </c>
      <c r="L23" s="134" t="s">
        <v>169</v>
      </c>
      <c r="M23" s="40"/>
      <c r="N23" s="135" t="str">
        <f>IFERROR(H23*64/M23,"")</f>
        <v/>
      </c>
      <c r="O23" s="136">
        <f t="shared" si="0"/>
        <v>0</v>
      </c>
    </row>
    <row r="24" spans="1:15" ht="24" customHeight="1" x14ac:dyDescent="0.2">
      <c r="A24" s="127"/>
      <c r="B24" s="130"/>
      <c r="C24" s="131"/>
      <c r="D24" s="247"/>
      <c r="E24" s="244"/>
      <c r="F24" s="250"/>
      <c r="G24" s="132" t="s">
        <v>298</v>
      </c>
      <c r="H24" s="39"/>
      <c r="I24" s="133">
        <f>IF($H$7="Period 1", VLOOKUP(E23&amp;G24&amp;$H$7,'Rebate Reference Table'!$E$5:$M$125,5,FALSE), VLOOKUP(E23&amp;G24&amp;$H$7,'Rebate Reference Table'!$F$5:$K$125,6,FALSE))</f>
        <v>30</v>
      </c>
      <c r="J24" s="134">
        <v>2.2000000000000002</v>
      </c>
      <c r="K24" s="241"/>
      <c r="L24" s="134" t="s">
        <v>169</v>
      </c>
      <c r="M24" s="40"/>
      <c r="N24" s="135" t="str">
        <f>IFERROR(H24*64/M24,"")</f>
        <v/>
      </c>
      <c r="O24" s="136">
        <f t="shared" ref="O24" si="2">H24*I24</f>
        <v>0</v>
      </c>
    </row>
    <row r="25" spans="1:15" ht="24" customHeight="1" x14ac:dyDescent="0.2">
      <c r="A25" s="127">
        <v>10849225</v>
      </c>
      <c r="B25" s="130" t="s">
        <v>177</v>
      </c>
      <c r="C25" s="137"/>
      <c r="D25" s="247"/>
      <c r="E25" s="244"/>
      <c r="F25" s="250"/>
      <c r="G25" s="132" t="s">
        <v>96</v>
      </c>
      <c r="H25" s="39"/>
      <c r="I25" s="138">
        <f>IF($H$7="Period 1", VLOOKUP(E23&amp;G25&amp;$H$7,'Rebate Reference Table'!$E$5:$M$125,3,FALSE), VLOOKUP(E23&amp;G25&amp;$H$7,'Rebate Reference Table'!$F$5:$K$125,6,FALSE))</f>
        <v>48</v>
      </c>
      <c r="J25" s="134">
        <v>2.2000000000000002</v>
      </c>
      <c r="K25" s="241"/>
      <c r="L25" s="134" t="s">
        <v>169</v>
      </c>
      <c r="M25" s="40"/>
      <c r="N25" s="135" t="str">
        <f>IFERROR(H25*320/M25,"")</f>
        <v/>
      </c>
      <c r="O25" s="136">
        <f t="shared" ref="O25:O26" si="3">H25*I25</f>
        <v>0</v>
      </c>
    </row>
    <row r="26" spans="1:15" ht="24" customHeight="1" x14ac:dyDescent="0.2">
      <c r="A26" s="127">
        <v>10849225</v>
      </c>
      <c r="B26" s="130" t="s">
        <v>175</v>
      </c>
      <c r="C26" s="137"/>
      <c r="D26" s="247"/>
      <c r="E26" s="244"/>
      <c r="F26" s="250"/>
      <c r="G26" s="132" t="s">
        <v>196</v>
      </c>
      <c r="H26" s="39"/>
      <c r="I26" s="133">
        <f>IF($H$7="Period 1", VLOOKUP(E23&amp;G26&amp;$H$7,'Rebate Reference Table'!$E$5:$M$125,4,FALSE), VLOOKUP(E23&amp;G26&amp;$H$7,'Rebate Reference Table'!$F$5:$K$125,6,FALSE))</f>
        <v>125</v>
      </c>
      <c r="J26" s="134">
        <v>2.2000000000000002</v>
      </c>
      <c r="K26" s="241"/>
      <c r="L26" s="134" t="s">
        <v>169</v>
      </c>
      <c r="M26" s="40"/>
      <c r="N26" s="135" t="str">
        <f>IFERROR(H26*320/M26,"")</f>
        <v/>
      </c>
      <c r="O26" s="136">
        <f t="shared" si="3"/>
        <v>0</v>
      </c>
    </row>
    <row r="27" spans="1:15" ht="24" customHeight="1" x14ac:dyDescent="0.2">
      <c r="A27" s="127"/>
      <c r="B27" s="130"/>
      <c r="C27" s="137"/>
      <c r="D27" s="248"/>
      <c r="E27" s="245"/>
      <c r="F27" s="251"/>
      <c r="G27" s="132" t="s">
        <v>299</v>
      </c>
      <c r="H27" s="39"/>
      <c r="I27" s="133">
        <f>IF($H$7="Period 1", VLOOKUP(E23&amp;G27&amp;$H$7,'Rebate Reference Table'!$E$5:$M$125,5,FALSE), VLOOKUP(E23&amp;G27&amp;$H$7,'Rebate Reference Table'!$F$5:$K$125,6,FALSE))</f>
        <v>150</v>
      </c>
      <c r="J27" s="134">
        <v>2.2000000000000002</v>
      </c>
      <c r="K27" s="242"/>
      <c r="L27" s="134" t="s">
        <v>169</v>
      </c>
      <c r="M27" s="40"/>
      <c r="N27" s="135"/>
      <c r="O27" s="136">
        <f t="shared" ref="O27" si="4">H27*I27</f>
        <v>0</v>
      </c>
    </row>
    <row r="28" spans="1:15" s="126" customFormat="1" ht="15.75" thickBot="1" x14ac:dyDescent="0.3">
      <c r="A28" s="127"/>
      <c r="B28" s="128" t="s">
        <v>41</v>
      </c>
      <c r="C28" s="129"/>
      <c r="D28" s="47"/>
      <c r="E28" s="48" t="s">
        <v>41</v>
      </c>
      <c r="F28" s="48"/>
      <c r="G28" s="48"/>
      <c r="H28" s="48"/>
      <c r="I28" s="48"/>
      <c r="J28" s="48"/>
      <c r="K28" s="48"/>
      <c r="L28" s="48"/>
      <c r="M28" s="48"/>
      <c r="N28" s="48"/>
      <c r="O28" s="48"/>
    </row>
    <row r="29" spans="1:15" ht="24" customHeight="1" x14ac:dyDescent="0.2">
      <c r="A29" s="127">
        <v>10502225</v>
      </c>
      <c r="B29" s="139" t="s">
        <v>42</v>
      </c>
      <c r="C29" s="137"/>
      <c r="D29" s="225"/>
      <c r="E29" s="219" t="s">
        <v>70</v>
      </c>
      <c r="F29" s="228" t="s">
        <v>253</v>
      </c>
      <c r="G29" s="184" t="s">
        <v>96</v>
      </c>
      <c r="H29" s="39"/>
      <c r="I29" s="188">
        <f>IF($H$7="Period 1", VLOOKUP(E29&amp;G29&amp;$H$7,'Rebate Reference Table'!$E$5:$M$125,3,FALSE), VLOOKUP(E29&amp;G29&amp;$H$7,'Rebate Reference Table'!$F$5:$K$125,6,FALSE))</f>
        <v>20</v>
      </c>
      <c r="J29" s="189">
        <v>1</v>
      </c>
      <c r="K29" s="189">
        <v>8</v>
      </c>
      <c r="L29" s="189" t="s">
        <v>162</v>
      </c>
      <c r="M29" s="40"/>
      <c r="N29" s="193" t="str">
        <f>IFERROR((H29*320)/(M29*43.56),"")</f>
        <v/>
      </c>
      <c r="O29" s="195">
        <f>H29*I29</f>
        <v>0</v>
      </c>
    </row>
    <row r="30" spans="1:15" ht="24" customHeight="1" x14ac:dyDescent="0.2">
      <c r="A30" s="127"/>
      <c r="B30" s="139"/>
      <c r="C30" s="137"/>
      <c r="D30" s="227"/>
      <c r="E30" s="221"/>
      <c r="F30" s="230"/>
      <c r="G30" s="184" t="s">
        <v>297</v>
      </c>
      <c r="H30" s="39"/>
      <c r="I30" s="188">
        <f>IF($H$7="Period 1", VLOOKUP(E29&amp;G30&amp;$H$7,'Rebate Reference Table'!$E$5:$M$125,5,FALSE), VLOOKUP(E29&amp;G30&amp;$H$7,'Rebate Reference Table'!$F$5:$K$125,6,FALSE))</f>
        <v>30</v>
      </c>
      <c r="J30" s="189">
        <v>1</v>
      </c>
      <c r="K30" s="189">
        <v>8</v>
      </c>
      <c r="L30" s="189" t="s">
        <v>162</v>
      </c>
      <c r="M30" s="40"/>
      <c r="N30" s="193" t="str">
        <f>IFERROR((H30*320)/(M30*43.56),"")</f>
        <v/>
      </c>
      <c r="O30" s="195">
        <f>H30*I30</f>
        <v>0</v>
      </c>
    </row>
    <row r="31" spans="1:15" ht="24" customHeight="1" x14ac:dyDescent="0.2">
      <c r="A31" s="127">
        <v>10498121</v>
      </c>
      <c r="B31" s="139" t="s">
        <v>44</v>
      </c>
      <c r="C31" s="137"/>
      <c r="D31" s="258"/>
      <c r="E31" s="243" t="s">
        <v>67</v>
      </c>
      <c r="F31" s="254" t="s">
        <v>252</v>
      </c>
      <c r="G31" s="132" t="s">
        <v>109</v>
      </c>
      <c r="H31" s="39"/>
      <c r="I31" s="133">
        <f>IF($H$7="Period 1", VLOOKUP(E31&amp;G31&amp;$H$7,'Rebate Reference Table'!$E$5:$M$125,3,FALSE), VLOOKUP(E31&amp;G31&amp;$H$7,'Rebate Reference Table'!$F$5:$K$125,6,FALSE))</f>
        <v>3</v>
      </c>
      <c r="J31" s="143">
        <v>8</v>
      </c>
      <c r="K31" s="143">
        <v>24</v>
      </c>
      <c r="L31" s="134" t="s">
        <v>146</v>
      </c>
      <c r="M31" s="40"/>
      <c r="N31" s="144" t="str">
        <f>IFERROR(H31*3200/M31,"")</f>
        <v/>
      </c>
      <c r="O31" s="141">
        <f>H31*I31</f>
        <v>0</v>
      </c>
    </row>
    <row r="32" spans="1:15" ht="24" customHeight="1" x14ac:dyDescent="0.25">
      <c r="A32" s="127">
        <v>10498225</v>
      </c>
      <c r="B32" s="139" t="s">
        <v>132</v>
      </c>
      <c r="C32" s="137"/>
      <c r="D32" s="259"/>
      <c r="E32" s="244"/>
      <c r="F32" s="255"/>
      <c r="G32" s="132" t="s">
        <v>96</v>
      </c>
      <c r="H32" s="39"/>
      <c r="I32" s="133">
        <f>IF($H$7="Period 1", VLOOKUP(E31&amp;G32&amp;$H$7,'Rebate Reference Table'!$E$5:$M$125,3,FALSE), VLOOKUP(E31&amp;G32&amp;$H$7,'Rebate Reference Table'!$F$5:$K$125,6,FALSE))</f>
        <v>30</v>
      </c>
      <c r="J32" s="143">
        <v>8</v>
      </c>
      <c r="K32" s="143">
        <v>24</v>
      </c>
      <c r="L32" s="145" t="s">
        <v>146</v>
      </c>
      <c r="M32" s="40"/>
      <c r="N32" s="146" t="str">
        <f>IFERROR(H32*32000/M32,"")</f>
        <v/>
      </c>
      <c r="O32" s="136">
        <f t="shared" ref="O32" si="5">H32*I32</f>
        <v>0</v>
      </c>
    </row>
    <row r="33" spans="1:15" ht="24" customHeight="1" x14ac:dyDescent="0.2">
      <c r="A33" s="127">
        <v>10495032</v>
      </c>
      <c r="B33" s="139" t="s">
        <v>45</v>
      </c>
      <c r="C33" s="137"/>
      <c r="D33" s="184"/>
      <c r="E33" s="186" t="s">
        <v>66</v>
      </c>
      <c r="F33" s="187" t="s">
        <v>236</v>
      </c>
      <c r="G33" s="185" t="s">
        <v>107</v>
      </c>
      <c r="H33" s="39"/>
      <c r="I33" s="190">
        <f>IF($H$7="Period 1", VLOOKUP(E33&amp;G33&amp;$H$7,'Rebate Reference Table'!$E$5:$M$125,3,FALSE), VLOOKUP(E33&amp;G33&amp;$H$7,'Rebate Reference Table'!$F$5:$K$125,6,FALSE))</f>
        <v>3</v>
      </c>
      <c r="J33" s="191">
        <v>1.5</v>
      </c>
      <c r="K33" s="191">
        <v>9</v>
      </c>
      <c r="L33" s="189" t="s">
        <v>165</v>
      </c>
      <c r="M33" s="40"/>
      <c r="N33" s="196" t="str">
        <f>IFERROR((H33*30)/(M33*43.56),"")</f>
        <v/>
      </c>
      <c r="O33" s="195">
        <f>H33*I33</f>
        <v>0</v>
      </c>
    </row>
    <row r="34" spans="1:15" ht="24" customHeight="1" x14ac:dyDescent="0.2">
      <c r="A34" s="127">
        <v>10579121</v>
      </c>
      <c r="B34" s="139" t="s">
        <v>46</v>
      </c>
      <c r="C34" s="137"/>
      <c r="D34" s="132"/>
      <c r="E34" s="151" t="s">
        <v>74</v>
      </c>
      <c r="F34" s="147" t="s">
        <v>255</v>
      </c>
      <c r="G34" s="132" t="s">
        <v>109</v>
      </c>
      <c r="H34" s="39"/>
      <c r="I34" s="133">
        <f>IF($H$7="Period 1", VLOOKUP(E34&amp;G34&amp;$H$7,'Rebate Reference Table'!$E$5:$M$125,3,FALSE), VLOOKUP(E34&amp;G34&amp;$H$7,'Rebate Reference Table'!$F$5:$K$125,6,FALSE))</f>
        <v>15</v>
      </c>
      <c r="J34" s="143">
        <v>1</v>
      </c>
      <c r="K34" s="143">
        <v>4</v>
      </c>
      <c r="L34" s="143" t="s">
        <v>146</v>
      </c>
      <c r="M34" s="40"/>
      <c r="N34" s="144" t="str">
        <f>IFERROR(H34*3200/M34,"")</f>
        <v/>
      </c>
      <c r="O34" s="136">
        <f>H34*I34</f>
        <v>0</v>
      </c>
    </row>
    <row r="35" spans="1:15" ht="24" customHeight="1" x14ac:dyDescent="0.2">
      <c r="A35" s="127"/>
      <c r="B35" s="139"/>
      <c r="C35" s="137"/>
      <c r="D35" s="200"/>
      <c r="E35" s="198" t="s">
        <v>68</v>
      </c>
      <c r="F35" s="199" t="s">
        <v>222</v>
      </c>
      <c r="G35" s="185" t="s">
        <v>114</v>
      </c>
      <c r="H35" s="39"/>
      <c r="I35" s="190">
        <f>IF($H$7="Period 1", VLOOKUP(E35&amp;G35&amp;$H$7,'Rebate Reference Table'!$E$5:$M$125,3,FALSE), VLOOKUP(E35&amp;G35&amp;$H$7,'Rebate Reference Table'!$F$5:$K$125,6,FALSE))</f>
        <v>10</v>
      </c>
      <c r="J35" s="191">
        <v>0.88149999999999995</v>
      </c>
      <c r="K35" s="191">
        <v>1</v>
      </c>
      <c r="L35" s="189" t="s">
        <v>164</v>
      </c>
      <c r="M35" s="40"/>
      <c r="N35" s="196" t="str">
        <f>IFERROR((H35*38.4)/(M35*43.56),"")</f>
        <v/>
      </c>
      <c r="O35" s="195">
        <f>H35*I35</f>
        <v>0</v>
      </c>
    </row>
    <row r="36" spans="1:15" ht="33.75" customHeight="1" x14ac:dyDescent="0.2">
      <c r="A36" s="127">
        <v>10702460</v>
      </c>
      <c r="B36" s="139" t="s">
        <v>135</v>
      </c>
      <c r="C36" s="137"/>
      <c r="D36" s="246"/>
      <c r="E36" s="243" t="s">
        <v>237</v>
      </c>
      <c r="F36" s="265" t="s">
        <v>256</v>
      </c>
      <c r="G36" s="132" t="s">
        <v>115</v>
      </c>
      <c r="H36" s="39"/>
      <c r="I36" s="133">
        <f>IF($H$7="Period 1", VLOOKUP(E36&amp;G36&amp;$H$7,'Rebate Reference Table'!$E$5:$M$125,3,FALSE), VLOOKUP(E36&amp;G36&amp;$H$7,'Rebate Reference Table'!$F$5:$K$125,6,FALSE))</f>
        <v>10</v>
      </c>
      <c r="J36" s="143">
        <v>0.27500000000000002</v>
      </c>
      <c r="K36" s="143">
        <v>0.31</v>
      </c>
      <c r="L36" s="134" t="s">
        <v>162</v>
      </c>
      <c r="M36" s="40"/>
      <c r="N36" s="148" t="str">
        <f>IFERROR((H36*60)/(M36*43.56),"")</f>
        <v/>
      </c>
      <c r="O36" s="136">
        <f t="shared" ref="O36:O37" si="6">H36*I36</f>
        <v>0</v>
      </c>
    </row>
    <row r="37" spans="1:15" ht="34.5" customHeight="1" x14ac:dyDescent="0.2">
      <c r="A37" s="149">
        <v>10702460</v>
      </c>
      <c r="B37" s="130" t="s">
        <v>136</v>
      </c>
      <c r="C37" s="137"/>
      <c r="D37" s="248"/>
      <c r="E37" s="245"/>
      <c r="F37" s="267"/>
      <c r="G37" s="132" t="s">
        <v>238</v>
      </c>
      <c r="H37" s="39"/>
      <c r="I37" s="133">
        <f>IF($H$7="Period 1", VLOOKUP(E36&amp;G37&amp;$H$7,'Rebate Reference Table'!$E$5:$M$125,4,FALSE), VLOOKUP(E36&amp;G37&amp;$H$7,'Rebate Reference Table'!$F$5:$K$125,6,FALSE))</f>
        <v>30</v>
      </c>
      <c r="J37" s="143">
        <v>0.27500000000000002</v>
      </c>
      <c r="K37" s="143">
        <v>0.31</v>
      </c>
      <c r="L37" s="134" t="s">
        <v>162</v>
      </c>
      <c r="M37" s="40"/>
      <c r="N37" s="148" t="str">
        <f>IFERROR((H37*60)/(M37*43.56),"")</f>
        <v/>
      </c>
      <c r="O37" s="136">
        <f t="shared" si="6"/>
        <v>0</v>
      </c>
    </row>
    <row r="38" spans="1:15" ht="34.5" customHeight="1" x14ac:dyDescent="0.2">
      <c r="A38" s="178"/>
      <c r="B38" s="130"/>
      <c r="C38" s="137"/>
      <c r="D38" s="184"/>
      <c r="E38" s="186" t="s">
        <v>69</v>
      </c>
      <c r="F38" s="187" t="s">
        <v>257</v>
      </c>
      <c r="G38" s="185" t="s">
        <v>113</v>
      </c>
      <c r="H38" s="39"/>
      <c r="I38" s="190">
        <f>IF($H$7="Period 1", VLOOKUP(E38&amp;G38&amp;$H$7,'Rebate Reference Table'!$E$5:$M$125,3,FALSE), VLOOKUP(E38&amp;G38&amp;$H$7,'Rebate Reference Table'!$F$5:$K$125,6,FALSE))</f>
        <v>5</v>
      </c>
      <c r="J38" s="191">
        <v>1</v>
      </c>
      <c r="K38" s="191">
        <v>2</v>
      </c>
      <c r="L38" s="191" t="s">
        <v>316</v>
      </c>
      <c r="M38" s="40"/>
      <c r="N38" s="197" t="str">
        <f>IFERROR(H38*500/M38,"")</f>
        <v/>
      </c>
      <c r="O38" s="194">
        <f>H38*I38</f>
        <v>0</v>
      </c>
    </row>
    <row r="39" spans="1:15" ht="24" customHeight="1" x14ac:dyDescent="0.2">
      <c r="A39" s="127">
        <v>10492051</v>
      </c>
      <c r="B39" s="139" t="s">
        <v>50</v>
      </c>
      <c r="C39" s="137"/>
      <c r="D39" s="142"/>
      <c r="E39" s="151" t="s">
        <v>65</v>
      </c>
      <c r="F39" s="147" t="s">
        <v>257</v>
      </c>
      <c r="G39" s="132" t="s">
        <v>111</v>
      </c>
      <c r="H39" s="39"/>
      <c r="I39" s="133">
        <f>IF($H$7="Period 1", VLOOKUP(E39&amp;G39&amp;$H$7,'Rebate Reference Table'!$E$5:$M$125,3,FALSE), VLOOKUP(E39&amp;G39&amp;$H$7,'Rebate Reference Table'!$F$5:$K$125,6,FALSE))</f>
        <v>8</v>
      </c>
      <c r="J39" s="143">
        <v>0.6</v>
      </c>
      <c r="K39" s="143">
        <v>1.1000000000000001</v>
      </c>
      <c r="L39" s="134" t="s">
        <v>162</v>
      </c>
      <c r="M39" s="40"/>
      <c r="N39" s="148" t="str">
        <f>IFERROR((H39*128)/(M39*43.56),"")</f>
        <v/>
      </c>
      <c r="O39" s="141">
        <f>H39*I39</f>
        <v>0</v>
      </c>
    </row>
    <row r="40" spans="1:15" ht="24" customHeight="1" x14ac:dyDescent="0.2">
      <c r="A40" s="149">
        <v>10854041</v>
      </c>
      <c r="B40" s="130" t="s">
        <v>178</v>
      </c>
      <c r="C40" s="150"/>
      <c r="D40" s="257"/>
      <c r="E40" s="252" t="s">
        <v>174</v>
      </c>
      <c r="F40" s="253" t="s">
        <v>183</v>
      </c>
      <c r="G40" s="185" t="s">
        <v>105</v>
      </c>
      <c r="H40" s="39"/>
      <c r="I40" s="190">
        <f>IF($H$7="Period 1", VLOOKUP(E40&amp;G40&amp;$H$7,'Rebate Reference Table'!$E$5:$M$125,3,FALSE), VLOOKUP(E40&amp;G40&amp;$H$7,'Rebate Reference Table'!$F$5:$K$125,6,FALSE))</f>
        <v>12</v>
      </c>
      <c r="J40" s="191">
        <v>0.18</v>
      </c>
      <c r="K40" s="191">
        <v>0.37</v>
      </c>
      <c r="L40" s="189" t="s">
        <v>162</v>
      </c>
      <c r="M40" s="40"/>
      <c r="N40" s="193" t="str">
        <f>IFERROR((H40*16)/(M40*43.56),"")</f>
        <v/>
      </c>
      <c r="O40" s="195">
        <f t="shared" ref="O40:O44" si="7">H40*I40</f>
        <v>0</v>
      </c>
    </row>
    <row r="41" spans="1:15" ht="24" customHeight="1" x14ac:dyDescent="0.2">
      <c r="A41" s="178"/>
      <c r="B41" s="130"/>
      <c r="C41" s="150"/>
      <c r="D41" s="226"/>
      <c r="E41" s="220"/>
      <c r="F41" s="229"/>
      <c r="G41" s="185" t="s">
        <v>301</v>
      </c>
      <c r="H41" s="39"/>
      <c r="I41" s="190">
        <f>IF($H$7="Period 1", VLOOKUP(E40&amp;G41&amp;$H$7,'Rebate Reference Table'!$E$5:$M$125,5,FALSE), VLOOKUP(E40&amp;G41&amp;$H$7,'Rebate Reference Table'!$F$5:$K$125,6,FALSE))</f>
        <v>17.5</v>
      </c>
      <c r="J41" s="191">
        <v>0.18</v>
      </c>
      <c r="K41" s="191">
        <v>0.37</v>
      </c>
      <c r="L41" s="189" t="s">
        <v>162</v>
      </c>
      <c r="M41" s="40"/>
      <c r="N41" s="193" t="str">
        <f>IFERROR((H41*16)/(M41*43.56),"")</f>
        <v/>
      </c>
      <c r="O41" s="195">
        <f t="shared" ref="O41" si="8">H41*I41</f>
        <v>0</v>
      </c>
    </row>
    <row r="42" spans="1:15" ht="24" customHeight="1" x14ac:dyDescent="0.2">
      <c r="A42" s="178"/>
      <c r="B42" s="130"/>
      <c r="C42" s="150"/>
      <c r="D42" s="226"/>
      <c r="E42" s="220"/>
      <c r="F42" s="229"/>
      <c r="G42" s="185" t="s">
        <v>111</v>
      </c>
      <c r="H42" s="39"/>
      <c r="I42" s="190">
        <f>IF($H$7="Period 1", VLOOKUP(E40&amp;G42&amp;$H$7,'Rebate Reference Table'!$E$5:$M$125,3,FALSE), VLOOKUP(E40&amp;G42&amp;$H$7,'Rebate Reference Table'!$F$5:$K$125,6,FALSE))</f>
        <v>75</v>
      </c>
      <c r="J42" s="191">
        <v>0.18</v>
      </c>
      <c r="K42" s="191">
        <v>0.37</v>
      </c>
      <c r="L42" s="189" t="s">
        <v>162</v>
      </c>
      <c r="M42" s="40"/>
      <c r="N42" s="193" t="str">
        <f>IFERROR((H42*128)/(M42*43.56),"")</f>
        <v/>
      </c>
      <c r="O42" s="195">
        <f t="shared" ref="O42" si="9">H42*I42</f>
        <v>0</v>
      </c>
    </row>
    <row r="43" spans="1:15" ht="24" customHeight="1" x14ac:dyDescent="0.2">
      <c r="A43" s="149">
        <v>10854041</v>
      </c>
      <c r="B43" s="130" t="s">
        <v>179</v>
      </c>
      <c r="C43" s="150"/>
      <c r="D43" s="226"/>
      <c r="E43" s="220"/>
      <c r="F43" s="229"/>
      <c r="G43" s="185" t="s">
        <v>210</v>
      </c>
      <c r="H43" s="39"/>
      <c r="I43" s="190">
        <f>IF($H$7="Period 1", VLOOKUP(E40&amp;G43&amp;$H$7,'Rebate Reference Table'!$E$5:$M$125,4,FALSE), VLOOKUP(E40&amp;G43&amp;$H$7,'Rebate Reference Table'!$F$5:$K$125,6,FALSE))</f>
        <v>110</v>
      </c>
      <c r="J43" s="191">
        <v>0.18</v>
      </c>
      <c r="K43" s="191">
        <v>0.37</v>
      </c>
      <c r="L43" s="189" t="s">
        <v>162</v>
      </c>
      <c r="M43" s="40"/>
      <c r="N43" s="193" t="str">
        <f>IFERROR((H43*128)/(M43*43.56),"")</f>
        <v/>
      </c>
      <c r="O43" s="195">
        <f t="shared" si="7"/>
        <v>0</v>
      </c>
    </row>
    <row r="44" spans="1:15" ht="24" customHeight="1" x14ac:dyDescent="0.2">
      <c r="A44" s="149"/>
      <c r="B44" s="130"/>
      <c r="C44" s="150"/>
      <c r="D44" s="226"/>
      <c r="E44" s="220"/>
      <c r="F44" s="229"/>
      <c r="G44" s="185" t="s">
        <v>302</v>
      </c>
      <c r="H44" s="39"/>
      <c r="I44" s="190">
        <f>IF($H$7="Period 1", VLOOKUP(E40&amp;G44&amp;$H$7,'Rebate Reference Table'!$E$5:$M$125,5,FALSE), VLOOKUP(E40&amp;G44&amp;$H$7,'Rebate Reference Table'!$F$5:$K$125,6,FALSE))</f>
        <v>140</v>
      </c>
      <c r="J44" s="191">
        <v>0.18</v>
      </c>
      <c r="K44" s="191">
        <v>0.37</v>
      </c>
      <c r="L44" s="189" t="s">
        <v>162</v>
      </c>
      <c r="M44" s="40"/>
      <c r="N44" s="193" t="str">
        <f>IFERROR((H44*128)/(M44*43.56),"")</f>
        <v/>
      </c>
      <c r="O44" s="195">
        <f t="shared" si="7"/>
        <v>0</v>
      </c>
    </row>
    <row r="45" spans="1:15" ht="24" customHeight="1" x14ac:dyDescent="0.2">
      <c r="A45" s="149">
        <v>10723225</v>
      </c>
      <c r="B45" s="130" t="s">
        <v>137</v>
      </c>
      <c r="C45" s="150"/>
      <c r="D45" s="246"/>
      <c r="E45" s="243" t="s">
        <v>171</v>
      </c>
      <c r="F45" s="254" t="s">
        <v>222</v>
      </c>
      <c r="G45" s="132" t="s">
        <v>96</v>
      </c>
      <c r="H45" s="39"/>
      <c r="I45" s="133">
        <f>IF($H$7="Period 1", VLOOKUP(E45&amp;G45&amp;$H$7,'Rebate Reference Table'!$E$5:$M$125,3,FALSE), VLOOKUP(E45&amp;G45&amp;$H$7,'Rebate Reference Table'!$F$5:$K$125,6,FALSE))</f>
        <v>20</v>
      </c>
      <c r="J45" s="143">
        <v>1.3</v>
      </c>
      <c r="K45" s="143">
        <v>1.3</v>
      </c>
      <c r="L45" s="134" t="s">
        <v>162</v>
      </c>
      <c r="M45" s="40"/>
      <c r="N45" s="135" t="str">
        <f>IFERROR((H45*320)/(M45*43.56),"")</f>
        <v/>
      </c>
      <c r="O45" s="141">
        <f t="shared" ref="O45:O46" si="10">H45*I45</f>
        <v>0</v>
      </c>
    </row>
    <row r="46" spans="1:15" ht="24" customHeight="1" x14ac:dyDescent="0.2">
      <c r="A46" s="149">
        <v>10723225</v>
      </c>
      <c r="B46" s="130" t="s">
        <v>138</v>
      </c>
      <c r="C46" s="150"/>
      <c r="D46" s="247"/>
      <c r="E46" s="244"/>
      <c r="F46" s="255"/>
      <c r="G46" s="132" t="s">
        <v>196</v>
      </c>
      <c r="H46" s="39"/>
      <c r="I46" s="133">
        <f>IF($H$7="Period 1", VLOOKUP(E45&amp;G46&amp;$H$7,'Rebate Reference Table'!$E$5:$M$125,4,FALSE), VLOOKUP(E45&amp;G46&amp;$H$7,'Rebate Reference Table'!$F$5:$K$125,6,FALSE))</f>
        <v>55</v>
      </c>
      <c r="J46" s="143">
        <v>1.3</v>
      </c>
      <c r="K46" s="143">
        <v>1.3</v>
      </c>
      <c r="L46" s="134" t="s">
        <v>162</v>
      </c>
      <c r="M46" s="40"/>
      <c r="N46" s="135" t="str">
        <f>IFERROR((H46*320)/(M46*43.56),"")</f>
        <v/>
      </c>
      <c r="O46" s="141">
        <f t="shared" si="10"/>
        <v>0</v>
      </c>
    </row>
    <row r="47" spans="1:15" ht="24" customHeight="1" x14ac:dyDescent="0.2">
      <c r="A47" s="149"/>
      <c r="B47" s="130"/>
      <c r="C47" s="150"/>
      <c r="D47" s="247"/>
      <c r="E47" s="244"/>
      <c r="F47" s="255"/>
      <c r="G47" s="132" t="s">
        <v>296</v>
      </c>
      <c r="H47" s="39"/>
      <c r="I47" s="133">
        <f>IF($H$7="Period 1", VLOOKUP(E45&amp;G47&amp;$H$7,'Rebate Reference Table'!$E$5:$M$125,5,FALSE), VLOOKUP(E45&amp;G47&amp;$H$7,'Rebate Reference Table'!$F$5:$K$125,6,FALSE))</f>
        <v>75</v>
      </c>
      <c r="J47" s="143">
        <v>1.3</v>
      </c>
      <c r="K47" s="143">
        <v>1.3</v>
      </c>
      <c r="L47" s="134" t="s">
        <v>162</v>
      </c>
      <c r="M47" s="40"/>
      <c r="N47" s="135" t="str">
        <f>IFERROR((H47*320)/(M47*43.56),"")</f>
        <v/>
      </c>
      <c r="O47" s="141">
        <f>H47*I47</f>
        <v>0</v>
      </c>
    </row>
    <row r="48" spans="1:15" ht="24" customHeight="1" x14ac:dyDescent="0.2">
      <c r="A48" s="149"/>
      <c r="B48" s="130"/>
      <c r="C48" s="150"/>
      <c r="D48" s="248"/>
      <c r="E48" s="245"/>
      <c r="F48" s="256"/>
      <c r="G48" s="132" t="s">
        <v>297</v>
      </c>
      <c r="H48" s="39"/>
      <c r="I48" s="133">
        <f>IF($H$7="Period 1", VLOOKUP(E45&amp;G48&amp;$H$7,'Rebate Reference Table'!$E$5:$M$125,5,FALSE), VLOOKUP(E45&amp;G48&amp;$H$7,'Rebate Reference Table'!$F$5:$K$125,6,FALSE))</f>
        <v>75</v>
      </c>
      <c r="J48" s="143">
        <v>1.3</v>
      </c>
      <c r="K48" s="143">
        <v>1.3</v>
      </c>
      <c r="L48" s="134" t="s">
        <v>162</v>
      </c>
      <c r="M48" s="40"/>
      <c r="N48" s="135" t="str">
        <f>IFERROR((H48*320)/(M48*43.56),"")</f>
        <v/>
      </c>
      <c r="O48" s="141">
        <f>H48*I48</f>
        <v>0</v>
      </c>
    </row>
    <row r="49" spans="1:15" s="126" customFormat="1" ht="15.75" thickBot="1" x14ac:dyDescent="0.3">
      <c r="A49" s="127"/>
      <c r="B49" s="128" t="s">
        <v>25</v>
      </c>
      <c r="C49" s="129"/>
      <c r="D49" s="47"/>
      <c r="E49" s="48" t="s">
        <v>25</v>
      </c>
      <c r="F49" s="48"/>
      <c r="G49" s="48"/>
      <c r="H49" s="48"/>
      <c r="I49" s="48"/>
      <c r="J49" s="48"/>
      <c r="K49" s="48"/>
      <c r="L49" s="48"/>
      <c r="M49" s="48"/>
      <c r="N49" s="48"/>
      <c r="O49" s="48"/>
    </row>
    <row r="50" spans="1:15" ht="24" customHeight="1" x14ac:dyDescent="0.2">
      <c r="A50" s="149">
        <v>10669032</v>
      </c>
      <c r="B50" s="130" t="s">
        <v>26</v>
      </c>
      <c r="C50" s="150"/>
      <c r="D50" s="225"/>
      <c r="E50" s="219" t="s">
        <v>89</v>
      </c>
      <c r="F50" s="228" t="s">
        <v>118</v>
      </c>
      <c r="G50" s="185" t="s">
        <v>107</v>
      </c>
      <c r="H50" s="39"/>
      <c r="I50" s="190">
        <f>IF($H$7="Period 1", VLOOKUP(E50&amp;G50&amp;$H$7,'Rebate Reference Table'!$E$5:$M$125,3,FALSE), VLOOKUP(E50&amp;G50&amp;$H$7,'Rebate Reference Table'!$F$5:$K$125,6,FALSE))</f>
        <v>3</v>
      </c>
      <c r="J50" s="189">
        <v>80</v>
      </c>
      <c r="K50" s="189">
        <v>160</v>
      </c>
      <c r="L50" s="189" t="s">
        <v>142</v>
      </c>
      <c r="M50" s="40"/>
      <c r="N50" s="196" t="str">
        <f>IFERROR(H50*30/M50,"")</f>
        <v/>
      </c>
      <c r="O50" s="195">
        <f>H50*I50</f>
        <v>0</v>
      </c>
    </row>
    <row r="51" spans="1:15" ht="24" customHeight="1" x14ac:dyDescent="0.2">
      <c r="A51" s="149"/>
      <c r="B51" s="130"/>
      <c r="C51" s="150"/>
      <c r="D51" s="227"/>
      <c r="E51" s="221"/>
      <c r="F51" s="230"/>
      <c r="G51" s="185" t="s">
        <v>227</v>
      </c>
      <c r="H51" s="39"/>
      <c r="I51" s="190">
        <f>IF($H$7="Period 1", VLOOKUP(E50&amp;G51&amp;$H$7,'Rebate Reference Table'!$E$5:$M$125,4,FALSE), VLOOKUP(E50&amp;G51&amp;$H$7,'Rebate Reference Table'!$F$5:$K$125,6,FALSE))</f>
        <v>6</v>
      </c>
      <c r="J51" s="189">
        <v>80</v>
      </c>
      <c r="K51" s="189">
        <v>160</v>
      </c>
      <c r="L51" s="189" t="s">
        <v>142</v>
      </c>
      <c r="M51" s="40"/>
      <c r="N51" s="196" t="str">
        <f>IFERROR(H51*30/M51,"")</f>
        <v/>
      </c>
      <c r="O51" s="195">
        <f>H51*I51</f>
        <v>0</v>
      </c>
    </row>
    <row r="52" spans="1:15" ht="24" customHeight="1" x14ac:dyDescent="0.2">
      <c r="A52" s="127">
        <v>10678464</v>
      </c>
      <c r="B52" s="139" t="s">
        <v>130</v>
      </c>
      <c r="C52" s="137"/>
      <c r="D52" s="247"/>
      <c r="E52" s="244" t="s">
        <v>224</v>
      </c>
      <c r="F52" s="255" t="s">
        <v>287</v>
      </c>
      <c r="G52" s="142" t="s">
        <v>106</v>
      </c>
      <c r="H52" s="39"/>
      <c r="I52" s="138">
        <f>IF($H$7="Period 1", VLOOKUP(E52&amp;G52&amp;$H$7,'Rebate Reference Table'!$E$5:$M$125,3,FALSE), VLOOKUP(E52&amp;G52&amp;$H$7,'Rebate Reference Table'!$F$5:$K$125,6,FALSE))</f>
        <v>65</v>
      </c>
      <c r="J52" s="134">
        <v>0.27</v>
      </c>
      <c r="K52" s="134">
        <v>0.54</v>
      </c>
      <c r="L52" s="134" t="s">
        <v>162</v>
      </c>
      <c r="M52" s="40"/>
      <c r="N52" s="148" t="str">
        <f>IFERROR((H52*64)/(M52*43.56),"")</f>
        <v/>
      </c>
      <c r="O52" s="136">
        <f t="shared" ref="O52:O53" si="11">H52*I52</f>
        <v>0</v>
      </c>
    </row>
    <row r="53" spans="1:15" ht="24" customHeight="1" x14ac:dyDescent="0.2">
      <c r="A53" s="149">
        <v>10678464</v>
      </c>
      <c r="B53" s="130" t="s">
        <v>131</v>
      </c>
      <c r="C53" s="137"/>
      <c r="D53" s="248"/>
      <c r="E53" s="245"/>
      <c r="F53" s="256"/>
      <c r="G53" s="132" t="s">
        <v>225</v>
      </c>
      <c r="H53" s="39"/>
      <c r="I53" s="133">
        <f>IF($H$7="Period 1", VLOOKUP(E52&amp;G53&amp;$H$7,'Rebate Reference Table'!$E$5:$M$125,4,FALSE), VLOOKUP(E52&amp;G53&amp;$H$7,'Rebate Reference Table'!$F$5:$K$125,6,FALSE))</f>
        <v>130</v>
      </c>
      <c r="J53" s="134">
        <v>0.27</v>
      </c>
      <c r="K53" s="134">
        <v>0.54</v>
      </c>
      <c r="L53" s="134" t="s">
        <v>162</v>
      </c>
      <c r="M53" s="40"/>
      <c r="N53" s="148" t="str">
        <f>IFERROR((H53*64)/(M53*43.56),"")</f>
        <v/>
      </c>
      <c r="O53" s="136">
        <f t="shared" si="11"/>
        <v>0</v>
      </c>
    </row>
    <row r="54" spans="1:15" ht="24" customHeight="1" x14ac:dyDescent="0.2">
      <c r="A54" s="149"/>
      <c r="B54" s="130"/>
      <c r="C54" s="137"/>
      <c r="D54" s="209"/>
      <c r="E54" s="252" t="s">
        <v>229</v>
      </c>
      <c r="F54" s="253" t="s">
        <v>118</v>
      </c>
      <c r="G54" s="185" t="s">
        <v>106</v>
      </c>
      <c r="H54" s="39"/>
      <c r="I54" s="190">
        <f>IF($H$7="Period 1", VLOOKUP(E54&amp;G54&amp;$H$7,'Rebate Reference Table'!$E$5:$M$125,3,FALSE), VLOOKUP(E54&amp;G54&amp;$H$7,'Rebate Reference Table'!$F$5:$K$125,6,FALSE))</f>
        <v>65</v>
      </c>
      <c r="J54" s="189">
        <v>0.27</v>
      </c>
      <c r="K54" s="189">
        <v>0.54</v>
      </c>
      <c r="L54" s="189" t="s">
        <v>162</v>
      </c>
      <c r="M54" s="40"/>
      <c r="N54" s="196" t="str">
        <f>IFERROR((H54*64)/(M54*43.56),"")</f>
        <v/>
      </c>
      <c r="O54" s="194">
        <f t="shared" ref="O54:O55" si="12">H54*I54</f>
        <v>0</v>
      </c>
    </row>
    <row r="55" spans="1:15" ht="24" customHeight="1" x14ac:dyDescent="0.2">
      <c r="A55" s="149"/>
      <c r="B55" s="130"/>
      <c r="C55" s="137"/>
      <c r="D55" s="210"/>
      <c r="E55" s="221"/>
      <c r="F55" s="230"/>
      <c r="G55" s="185" t="s">
        <v>225</v>
      </c>
      <c r="H55" s="39"/>
      <c r="I55" s="190">
        <f>IF($H$7="Period 1", VLOOKUP(E54&amp;G55&amp;$H$7,'Rebate Reference Table'!$E$5:$M$125,4,FALSE), VLOOKUP(E54&amp;G55&amp;$H$7,'Rebate Reference Table'!$F$5:$K$125,6,FALSE))</f>
        <v>130</v>
      </c>
      <c r="J55" s="189">
        <v>0.27</v>
      </c>
      <c r="K55" s="189">
        <v>0.54</v>
      </c>
      <c r="L55" s="189" t="s">
        <v>162</v>
      </c>
      <c r="M55" s="40"/>
      <c r="N55" s="196" t="str">
        <f>IFERROR((H55*64)/(M55*43.56),"")</f>
        <v/>
      </c>
      <c r="O55" s="194">
        <f t="shared" si="12"/>
        <v>0</v>
      </c>
    </row>
    <row r="56" spans="1:15" ht="24" customHeight="1" x14ac:dyDescent="0.2">
      <c r="A56" s="127">
        <v>10580032</v>
      </c>
      <c r="B56" s="139" t="s">
        <v>27</v>
      </c>
      <c r="C56" s="137"/>
      <c r="D56" s="246"/>
      <c r="E56" s="243" t="s">
        <v>75</v>
      </c>
      <c r="F56" s="254" t="s">
        <v>118</v>
      </c>
      <c r="G56" s="132" t="s">
        <v>107</v>
      </c>
      <c r="H56" s="39"/>
      <c r="I56" s="133">
        <f>IF($H$7="Period 1", VLOOKUP(E56&amp;G56&amp;$H$7,'Rebate Reference Table'!$E$5:$M$125,3,FALSE), VLOOKUP(E56&amp;G56&amp;$H$7,'Rebate Reference Table'!$F$5:$K$125,6,FALSE))</f>
        <v>3</v>
      </c>
      <c r="J56" s="143">
        <v>80</v>
      </c>
      <c r="K56" s="143">
        <v>160</v>
      </c>
      <c r="L56" s="134" t="s">
        <v>142</v>
      </c>
      <c r="M56" s="40"/>
      <c r="N56" s="148" t="str">
        <f>IFERROR(H56*30/M56,"")</f>
        <v/>
      </c>
      <c r="O56" s="141">
        <f>H56*I56</f>
        <v>0</v>
      </c>
    </row>
    <row r="57" spans="1:15" ht="24" customHeight="1" x14ac:dyDescent="0.2">
      <c r="A57" s="127"/>
      <c r="B57" s="139"/>
      <c r="C57" s="137"/>
      <c r="D57" s="248"/>
      <c r="E57" s="245"/>
      <c r="F57" s="256"/>
      <c r="G57" s="132" t="s">
        <v>231</v>
      </c>
      <c r="H57" s="39"/>
      <c r="I57" s="133">
        <f>IF($H$7="Period 1", VLOOKUP(E56&amp;G57&amp;$H$7,'Rebate Reference Table'!$E$5:$M$125,4,FALSE), VLOOKUP(E56&amp;G57&amp;$H$7,'Rebate Reference Table'!$F$5:$K$125,6,FALSE))</f>
        <v>6</v>
      </c>
      <c r="J57" s="143">
        <v>80</v>
      </c>
      <c r="K57" s="143">
        <v>160</v>
      </c>
      <c r="L57" s="134" t="s">
        <v>142</v>
      </c>
      <c r="M57" s="40"/>
      <c r="N57" s="148" t="str">
        <f>IFERROR(H57*30/M57,"")</f>
        <v/>
      </c>
      <c r="O57" s="141">
        <f>H57*I57</f>
        <v>0</v>
      </c>
    </row>
    <row r="58" spans="1:15" ht="24" customHeight="1" x14ac:dyDescent="0.2">
      <c r="A58" s="127">
        <v>10581440</v>
      </c>
      <c r="B58" s="139" t="s">
        <v>28</v>
      </c>
      <c r="C58" s="137"/>
      <c r="D58" s="209"/>
      <c r="E58" s="252" t="s">
        <v>76</v>
      </c>
      <c r="F58" s="253" t="s">
        <v>118</v>
      </c>
      <c r="G58" s="185" t="s">
        <v>108</v>
      </c>
      <c r="H58" s="39"/>
      <c r="I58" s="190">
        <f>IF($H$7="Period 1", VLOOKUP(E58&amp;G58&amp;$H$7,'Rebate Reference Table'!$E$5:$M$125,3,FALSE), VLOOKUP(E58&amp;G58&amp;$H$7,'Rebate Reference Table'!$F$5:$K$125,6,FALSE))</f>
        <v>50</v>
      </c>
      <c r="J58" s="191">
        <v>6.4</v>
      </c>
      <c r="K58" s="191">
        <v>12.8</v>
      </c>
      <c r="L58" s="189" t="s">
        <v>145</v>
      </c>
      <c r="M58" s="40"/>
      <c r="N58" s="196" t="str">
        <f>IFERROR(H58*40/M58,"")</f>
        <v/>
      </c>
      <c r="O58" s="194">
        <f t="shared" ref="O58" si="13">H58*I58</f>
        <v>0</v>
      </c>
    </row>
    <row r="59" spans="1:15" ht="24" customHeight="1" x14ac:dyDescent="0.2">
      <c r="A59" s="127"/>
      <c r="B59" s="139"/>
      <c r="C59" s="137"/>
      <c r="D59" s="210"/>
      <c r="E59" s="221"/>
      <c r="F59" s="230"/>
      <c r="G59" s="185" t="s">
        <v>232</v>
      </c>
      <c r="H59" s="39"/>
      <c r="I59" s="190">
        <f>IF($H$7="Period 1", VLOOKUP(E58&amp;G59&amp;$H$7,'Rebate Reference Table'!$E$5:$M$125,4,FALSE), VLOOKUP(E58&amp;G59&amp;$H$7,'Rebate Reference Table'!$F$5:$K$125,6,FALSE))</f>
        <v>140</v>
      </c>
      <c r="J59" s="191">
        <v>6.4</v>
      </c>
      <c r="K59" s="191">
        <v>12.8</v>
      </c>
      <c r="L59" s="189" t="s">
        <v>145</v>
      </c>
      <c r="M59" s="40"/>
      <c r="N59" s="196" t="str">
        <f>IFERROR(H59*40/M59,"")</f>
        <v/>
      </c>
      <c r="O59" s="194">
        <f t="shared" ref="O59" si="14">H59*I59</f>
        <v>0</v>
      </c>
    </row>
    <row r="60" spans="1:15" ht="24" customHeight="1" x14ac:dyDescent="0.2">
      <c r="A60" s="127">
        <v>10586301</v>
      </c>
      <c r="B60" s="139" t="s">
        <v>29</v>
      </c>
      <c r="C60" s="137"/>
      <c r="D60" s="142"/>
      <c r="E60" s="151" t="s">
        <v>78</v>
      </c>
      <c r="F60" s="202" t="s">
        <v>236</v>
      </c>
      <c r="G60" s="132" t="s">
        <v>101</v>
      </c>
      <c r="H60" s="39"/>
      <c r="I60" s="133">
        <f>IF($H$7="Period 1", VLOOKUP(E60&amp;G60&amp;$H$7,'Rebate Reference Table'!$E$5:$M$125,3,FALSE), VLOOKUP(E60&amp;G60&amp;$H$7,'Rebate Reference Table'!$F$5:$K$125,6,FALSE))</f>
        <v>1</v>
      </c>
      <c r="J60" s="143">
        <v>0.5</v>
      </c>
      <c r="K60" s="143">
        <v>2</v>
      </c>
      <c r="L60" s="134" t="s">
        <v>142</v>
      </c>
      <c r="M60" s="40"/>
      <c r="N60" s="208" t="str">
        <f>IFERROR(H60/M60,"")</f>
        <v/>
      </c>
      <c r="O60" s="141">
        <f t="shared" ref="O60:O61" si="15">H60*I60</f>
        <v>0</v>
      </c>
    </row>
    <row r="61" spans="1:15" ht="24" customHeight="1" x14ac:dyDescent="0.2">
      <c r="A61" s="127">
        <v>10588432</v>
      </c>
      <c r="B61" s="139" t="s">
        <v>30</v>
      </c>
      <c r="C61" s="137"/>
      <c r="D61" s="185"/>
      <c r="E61" s="186" t="s">
        <v>79</v>
      </c>
      <c r="F61" s="187"/>
      <c r="G61" s="185" t="s">
        <v>109</v>
      </c>
      <c r="H61" s="39"/>
      <c r="I61" s="190">
        <f>IF($H$7="Period 1", VLOOKUP(E61&amp;G61&amp;$H$7,'Rebate Reference Table'!$E$5:$M$125,3,FALSE), VLOOKUP(E61&amp;G61&amp;$H$7,'Rebate Reference Table'!$F$5:$K$125,6,FALSE))</f>
        <v>38</v>
      </c>
      <c r="J61" s="191">
        <v>6</v>
      </c>
      <c r="K61" s="191">
        <v>12</v>
      </c>
      <c r="L61" s="191" t="s">
        <v>146</v>
      </c>
      <c r="M61" s="40"/>
      <c r="N61" s="197" t="str">
        <f>IFERROR(H61*3200/M61,"")</f>
        <v/>
      </c>
      <c r="O61" s="194">
        <f t="shared" si="15"/>
        <v>0</v>
      </c>
    </row>
    <row r="62" spans="1:15" ht="24" customHeight="1" x14ac:dyDescent="0.2">
      <c r="A62" s="127">
        <v>10666432</v>
      </c>
      <c r="B62" s="139" t="s">
        <v>32</v>
      </c>
      <c r="C62" s="137"/>
      <c r="D62" s="246"/>
      <c r="E62" s="243" t="s">
        <v>88</v>
      </c>
      <c r="F62" s="254" t="s">
        <v>288</v>
      </c>
      <c r="G62" s="132" t="s">
        <v>109</v>
      </c>
      <c r="H62" s="39"/>
      <c r="I62" s="133">
        <f>IF($H$7="Period 1", VLOOKUP(E62&amp;G62&amp;$H$7,'Rebate Reference Table'!$E$5:$M$125,3,FALSE), VLOOKUP(E62&amp;G62&amp;$H$7,'Rebate Reference Table'!$F$5:$K$125,6,FALSE))</f>
        <v>5</v>
      </c>
      <c r="J62" s="143">
        <v>4</v>
      </c>
      <c r="K62" s="143">
        <v>8</v>
      </c>
      <c r="L62" s="143" t="s">
        <v>146</v>
      </c>
      <c r="M62" s="40"/>
      <c r="N62" s="144" t="str">
        <f>IFERROR(H62*3200/M62,"")</f>
        <v/>
      </c>
      <c r="O62" s="141">
        <f t="shared" ref="O62:O63" si="16">H62*I62</f>
        <v>0</v>
      </c>
    </row>
    <row r="63" spans="1:15" ht="24" customHeight="1" x14ac:dyDescent="0.2">
      <c r="A63" s="127">
        <v>10666041</v>
      </c>
      <c r="B63" s="139" t="s">
        <v>33</v>
      </c>
      <c r="C63" s="137"/>
      <c r="D63" s="247"/>
      <c r="E63" s="244"/>
      <c r="F63" s="255"/>
      <c r="G63" s="132" t="s">
        <v>111</v>
      </c>
      <c r="H63" s="39"/>
      <c r="I63" s="133">
        <f>IF($H$7="Period 1", VLOOKUP(E62&amp;G63&amp;$H$7,'Rebate Reference Table'!$E$5:$M$125,3,FALSE), VLOOKUP(E62&amp;G63&amp;$H$7,'Rebate Reference Table'!$F$5:$K$125,6,FALSE))</f>
        <v>20</v>
      </c>
      <c r="J63" s="143">
        <v>4</v>
      </c>
      <c r="K63" s="143">
        <v>8</v>
      </c>
      <c r="L63" s="143" t="s">
        <v>146</v>
      </c>
      <c r="M63" s="40"/>
      <c r="N63" s="144" t="str">
        <f>IFERROR(H63*12800/M63,"")</f>
        <v/>
      </c>
      <c r="O63" s="141">
        <f t="shared" si="16"/>
        <v>0</v>
      </c>
    </row>
    <row r="64" spans="1:15" ht="24" customHeight="1" x14ac:dyDescent="0.2">
      <c r="A64" s="127">
        <v>10594164</v>
      </c>
      <c r="B64" s="139" t="s">
        <v>35</v>
      </c>
      <c r="C64" s="137"/>
      <c r="D64" s="257"/>
      <c r="E64" s="252" t="s">
        <v>83</v>
      </c>
      <c r="F64" s="253" t="s">
        <v>160</v>
      </c>
      <c r="G64" s="185" t="s">
        <v>112</v>
      </c>
      <c r="H64" s="39"/>
      <c r="I64" s="190">
        <f>IF($H$7="Period 1", VLOOKUP(E64&amp;G64&amp;$H$7,'Rebate Reference Table'!$E$5:$M$125,3,FALSE), VLOOKUP(E64&amp;G64&amp;$H$7,'Rebate Reference Table'!$F$5:$K$125,6,FALSE))</f>
        <v>10</v>
      </c>
      <c r="J64" s="191">
        <v>3.5</v>
      </c>
      <c r="K64" s="191">
        <v>8</v>
      </c>
      <c r="L64" s="191" t="s">
        <v>147</v>
      </c>
      <c r="M64" s="40"/>
      <c r="N64" s="197" t="str">
        <f>IFERROR(H64*1200/M64,"")</f>
        <v/>
      </c>
      <c r="O64" s="195">
        <f t="shared" ref="O64:O66" si="17">H64*I64</f>
        <v>0</v>
      </c>
    </row>
    <row r="65" spans="1:15" ht="24" customHeight="1" x14ac:dyDescent="0.2">
      <c r="A65" s="127"/>
      <c r="B65" s="139"/>
      <c r="C65" s="137"/>
      <c r="D65" s="226"/>
      <c r="E65" s="220"/>
      <c r="F65" s="229"/>
      <c r="G65" s="185" t="s">
        <v>123</v>
      </c>
      <c r="H65" s="39"/>
      <c r="I65" s="190">
        <f>IF($H$7="Period 1", VLOOKUP(E64&amp;G65&amp;$H$7,'Rebate Reference Table'!$E$5:$M$125,3,FALSE), VLOOKUP(E64&amp;G65&amp;$H$7,'Rebate Reference Table'!$F$5:$K$125,6,FALSE))</f>
        <v>50</v>
      </c>
      <c r="J65" s="191">
        <v>3.5</v>
      </c>
      <c r="K65" s="191">
        <v>8</v>
      </c>
      <c r="L65" s="191" t="s">
        <v>147</v>
      </c>
      <c r="M65" s="40"/>
      <c r="N65" s="197" t="str">
        <f>IFERROR(H65*4800/M65,"")</f>
        <v/>
      </c>
      <c r="O65" s="195">
        <f t="shared" ref="O65" si="18">H65*I65</f>
        <v>0</v>
      </c>
    </row>
    <row r="66" spans="1:15" ht="24" customHeight="1" x14ac:dyDescent="0.2">
      <c r="A66" s="127">
        <v>10594403</v>
      </c>
      <c r="B66" s="139" t="s">
        <v>36</v>
      </c>
      <c r="C66" s="137"/>
      <c r="D66" s="227"/>
      <c r="E66" s="221"/>
      <c r="F66" s="230"/>
      <c r="G66" s="185" t="s">
        <v>317</v>
      </c>
      <c r="H66" s="39"/>
      <c r="I66" s="190">
        <f>IF($H$7="Period 1", VLOOKUP(E64&amp;G66&amp;$H$7,'Rebate Reference Table'!$E$5:$M$125,4,FALSE), VLOOKUP(E64&amp;G66&amp;$H$7,'Rebate Reference Table'!$F$5:$K$125,6,FALSE))</f>
        <v>100</v>
      </c>
      <c r="J66" s="191">
        <v>3.5</v>
      </c>
      <c r="K66" s="191">
        <v>8</v>
      </c>
      <c r="L66" s="191" t="s">
        <v>147</v>
      </c>
      <c r="M66" s="40"/>
      <c r="N66" s="197" t="str">
        <f>IFERROR(H66*4800/M66,"")</f>
        <v/>
      </c>
      <c r="O66" s="195">
        <f t="shared" si="17"/>
        <v>0</v>
      </c>
    </row>
    <row r="67" spans="1:15" ht="24" customHeight="1" x14ac:dyDescent="0.2">
      <c r="A67" s="127">
        <v>10599882</v>
      </c>
      <c r="B67" s="139" t="s">
        <v>38</v>
      </c>
      <c r="C67" s="137"/>
      <c r="D67" s="246"/>
      <c r="E67" s="243" t="s">
        <v>86</v>
      </c>
      <c r="F67" s="254"/>
      <c r="G67" s="132" t="s">
        <v>101</v>
      </c>
      <c r="H67" s="39"/>
      <c r="I67" s="133">
        <f>IF($H$7="Period 1", VLOOKUP(E67&amp;G67&amp;$H$7,'Rebate Reference Table'!$E$5:$M$125,3,FALSE), VLOOKUP(E67&amp;G67&amp;$H$7,'Rebate Reference Table'!$F$5:$K$125,6,FALSE))</f>
        <v>10</v>
      </c>
      <c r="J67" s="143">
        <v>8</v>
      </c>
      <c r="K67" s="143">
        <v>16</v>
      </c>
      <c r="L67" s="143" t="s">
        <v>147</v>
      </c>
      <c r="M67" s="40"/>
      <c r="N67" s="144" t="str">
        <f>IFERROR(H67*1600/M67,"")</f>
        <v/>
      </c>
      <c r="O67" s="141">
        <f>H67*I67</f>
        <v>0</v>
      </c>
    </row>
    <row r="68" spans="1:15" ht="24" customHeight="1" x14ac:dyDescent="0.2">
      <c r="A68" s="127"/>
      <c r="B68" s="139"/>
      <c r="C68" s="137"/>
      <c r="D68" s="247"/>
      <c r="E68" s="244"/>
      <c r="F68" s="255"/>
      <c r="G68" s="132" t="s">
        <v>235</v>
      </c>
      <c r="H68" s="39"/>
      <c r="I68" s="133">
        <f>IF($H$7="Period 1", VLOOKUP(E67&amp;G68&amp;$H$7,'Rebate Reference Table'!$E$5:$M$125,4,FALSE), VLOOKUP(E67&amp;G68&amp;$H$7,'Rebate Reference Table'!$F$5:$K$125,6,FALSE))</f>
        <v>15</v>
      </c>
      <c r="J68" s="143">
        <v>8</v>
      </c>
      <c r="K68" s="143">
        <v>16</v>
      </c>
      <c r="L68" s="143" t="s">
        <v>147</v>
      </c>
      <c r="M68" s="40"/>
      <c r="N68" s="144" t="str">
        <f>IFERROR(H68*1600/M68,"")</f>
        <v/>
      </c>
      <c r="O68" s="141">
        <f>H68*I68</f>
        <v>0</v>
      </c>
    </row>
    <row r="69" spans="1:15" ht="24" customHeight="1" x14ac:dyDescent="0.2">
      <c r="A69" s="127">
        <v>10520432</v>
      </c>
      <c r="B69" s="139" t="s">
        <v>39</v>
      </c>
      <c r="C69" s="137"/>
      <c r="D69" s="272"/>
      <c r="E69" s="274" t="s">
        <v>71</v>
      </c>
      <c r="F69" s="273" t="s">
        <v>222</v>
      </c>
      <c r="G69" s="185" t="s">
        <v>109</v>
      </c>
      <c r="H69" s="39"/>
      <c r="I69" s="190">
        <f>IF($H$7="Period 1", VLOOKUP(E69&amp;G69&amp;$H$7,'Rebate Reference Table'!$E$5:$M$125,3,FALSE), VLOOKUP(E69&amp;G69&amp;$H$7,'Rebate Reference Table'!$F$5:$K$125,6,FALSE))</f>
        <v>20</v>
      </c>
      <c r="J69" s="191">
        <v>4</v>
      </c>
      <c r="K69" s="191">
        <v>25.3</v>
      </c>
      <c r="L69" s="191" t="s">
        <v>146</v>
      </c>
      <c r="M69" s="40"/>
      <c r="N69" s="197" t="str">
        <f>IFERROR(H69*3200/M69,"")</f>
        <v/>
      </c>
      <c r="O69" s="194">
        <f t="shared" ref="O69:O70" si="19">H69*I69</f>
        <v>0</v>
      </c>
    </row>
    <row r="70" spans="1:15" ht="24" customHeight="1" x14ac:dyDescent="0.2">
      <c r="A70" s="127">
        <v>10520041</v>
      </c>
      <c r="B70" s="139" t="s">
        <v>40</v>
      </c>
      <c r="C70" s="137"/>
      <c r="D70" s="272"/>
      <c r="E70" s="274"/>
      <c r="F70" s="273"/>
      <c r="G70" s="185" t="s">
        <v>111</v>
      </c>
      <c r="H70" s="39"/>
      <c r="I70" s="190">
        <f>IF($H$7="Period 1", VLOOKUP(E69&amp;G70&amp;$H$7,'Rebate Reference Table'!$E$5:$M$125,3,FALSE), VLOOKUP(E69&amp;G70&amp;$H$7,'Rebate Reference Table'!$F$5:$K$125,6,FALSE))</f>
        <v>100</v>
      </c>
      <c r="J70" s="191">
        <v>4</v>
      </c>
      <c r="K70" s="191">
        <v>25.3</v>
      </c>
      <c r="L70" s="191" t="s">
        <v>146</v>
      </c>
      <c r="M70" s="40"/>
      <c r="N70" s="197" t="str">
        <f>IFERROR(H70*12800/M70,"")</f>
        <v/>
      </c>
      <c r="O70" s="194">
        <f t="shared" si="19"/>
        <v>0</v>
      </c>
    </row>
    <row r="71" spans="1:15" s="126" customFormat="1" ht="15.75" thickBot="1" x14ac:dyDescent="0.3">
      <c r="A71" s="152"/>
      <c r="B71" s="128" t="s">
        <v>0</v>
      </c>
      <c r="C71" s="129"/>
      <c r="D71" s="47"/>
      <c r="E71" s="48" t="s">
        <v>0</v>
      </c>
      <c r="F71" s="48"/>
      <c r="G71" s="48"/>
      <c r="H71" s="48"/>
      <c r="I71" s="48"/>
      <c r="J71" s="48"/>
      <c r="K71" s="48"/>
      <c r="L71" s="48"/>
      <c r="M71" s="48"/>
      <c r="N71" s="48"/>
      <c r="O71" s="48"/>
    </row>
    <row r="72" spans="1:15" ht="24" customHeight="1" x14ac:dyDescent="0.2">
      <c r="A72" s="127">
        <v>10010225</v>
      </c>
      <c r="B72" s="139" t="s">
        <v>3</v>
      </c>
      <c r="C72" s="137"/>
      <c r="D72" s="277"/>
      <c r="E72" s="276" t="s">
        <v>187</v>
      </c>
      <c r="F72" s="278" t="s">
        <v>220</v>
      </c>
      <c r="G72" s="142" t="s">
        <v>96</v>
      </c>
      <c r="H72" s="39"/>
      <c r="I72" s="138">
        <f>IF($H$7="Period 1", VLOOKUP(E72&amp;G72&amp;$H$7,'Rebate Reference Table'!$E$5:$M$125,3,FALSE), VLOOKUP(E72&amp;G72&amp;$H$7,'Rebate Reference Table'!$F$5:$K$125,6,FALSE))</f>
        <v>15</v>
      </c>
      <c r="J72" s="134">
        <v>1.1000000000000001</v>
      </c>
      <c r="K72" s="134">
        <v>1.5</v>
      </c>
      <c r="L72" s="134" t="s">
        <v>162</v>
      </c>
      <c r="M72" s="40"/>
      <c r="N72" s="135" t="str">
        <f>IFERROR((H72*320)/(M72*43.56),"")</f>
        <v/>
      </c>
      <c r="O72" s="136">
        <f t="shared" ref="O72:O81" si="20">H72*I72</f>
        <v>0</v>
      </c>
    </row>
    <row r="73" spans="1:15" ht="24" customHeight="1" x14ac:dyDescent="0.2">
      <c r="A73" s="127"/>
      <c r="B73" s="139"/>
      <c r="C73" s="137"/>
      <c r="D73" s="248"/>
      <c r="E73" s="245"/>
      <c r="F73" s="256"/>
      <c r="G73" s="142" t="s">
        <v>188</v>
      </c>
      <c r="H73" s="39"/>
      <c r="I73" s="138">
        <f>IF($H$7="Period 1", VLOOKUP(E72&amp;G73&amp;$H$7,'Rebate Reference Table'!$E$5:$M$125,4,FALSE), VLOOKUP(E72&amp;G73&amp;$H$7,'Rebate Reference Table'!$F$5:$K$125,6,FALSE))</f>
        <v>20</v>
      </c>
      <c r="J73" s="134">
        <v>1.1000000000000001</v>
      </c>
      <c r="K73" s="134">
        <v>1.5</v>
      </c>
      <c r="L73" s="134" t="s">
        <v>162</v>
      </c>
      <c r="M73" s="40"/>
      <c r="N73" s="135" t="str">
        <f>IFERROR((H73*320)/(M73*43.56),"")</f>
        <v/>
      </c>
      <c r="O73" s="136">
        <f t="shared" si="20"/>
        <v>0</v>
      </c>
    </row>
    <row r="74" spans="1:15" ht="24" customHeight="1" x14ac:dyDescent="0.2">
      <c r="A74" s="127">
        <v>10850464</v>
      </c>
      <c r="B74" s="139" t="s">
        <v>275</v>
      </c>
      <c r="C74" s="137"/>
      <c r="D74" s="257"/>
      <c r="E74" s="252" t="s">
        <v>274</v>
      </c>
      <c r="F74" s="253" t="s">
        <v>289</v>
      </c>
      <c r="G74" s="185" t="s">
        <v>106</v>
      </c>
      <c r="H74" s="39"/>
      <c r="I74" s="188">
        <f>IF($H$7="Period 1", VLOOKUP(E74&amp;G74&amp;$H$7,'Rebate Reference Table'!$E$5:$M$125,3,FALSE), VLOOKUP(E74&amp;G74&amp;$H$7,'Rebate Reference Table'!$F$5:$K$125,6,FALSE))</f>
        <v>7</v>
      </c>
      <c r="J74" s="189">
        <v>2.6</v>
      </c>
      <c r="K74" s="189">
        <v>3</v>
      </c>
      <c r="L74" s="189" t="s">
        <v>162</v>
      </c>
      <c r="M74" s="40"/>
      <c r="N74" s="196" t="str">
        <f>IFERROR((H74*64)/(M74*43.56),"")</f>
        <v/>
      </c>
      <c r="O74" s="194">
        <f t="shared" si="20"/>
        <v>0</v>
      </c>
    </row>
    <row r="75" spans="1:15" ht="24" customHeight="1" x14ac:dyDescent="0.2">
      <c r="A75" s="127">
        <v>10850225</v>
      </c>
      <c r="B75" s="139" t="s">
        <v>276</v>
      </c>
      <c r="C75" s="137"/>
      <c r="D75" s="226"/>
      <c r="E75" s="220"/>
      <c r="F75" s="229"/>
      <c r="G75" s="185" t="s">
        <v>96</v>
      </c>
      <c r="H75" s="39"/>
      <c r="I75" s="190">
        <f>IF($H$7="Period 1", VLOOKUP(E74&amp;G75&amp;$H$7,'Rebate Reference Table'!$E$5:$M$125,3,FALSE), VLOOKUP(E74&amp;G75&amp;$H$7,'Rebate Reference Table'!$F$5:$K$125,6,FALSE))</f>
        <v>30</v>
      </c>
      <c r="J75" s="189">
        <v>2.6</v>
      </c>
      <c r="K75" s="189">
        <v>3</v>
      </c>
      <c r="L75" s="189" t="s">
        <v>162</v>
      </c>
      <c r="M75" s="40"/>
      <c r="N75" s="193" t="str">
        <f>IFERROR((H75*320)/(M75*43.56),"")</f>
        <v/>
      </c>
      <c r="O75" s="194">
        <f t="shared" ref="O75:O77" si="21">H75*I75</f>
        <v>0</v>
      </c>
    </row>
    <row r="76" spans="1:15" ht="24" customHeight="1" x14ac:dyDescent="0.2">
      <c r="A76" s="127"/>
      <c r="B76" s="139"/>
      <c r="C76" s="137"/>
      <c r="D76" s="226"/>
      <c r="E76" s="220"/>
      <c r="F76" s="229"/>
      <c r="G76" s="185" t="s">
        <v>319</v>
      </c>
      <c r="H76" s="39"/>
      <c r="I76" s="190">
        <f>IF($H$7="Period 1", VLOOKUP(E74&amp;G76&amp;$H$7,'Rebate Reference Table'!$E$5:$M$125,4,FALSE), VLOOKUP(E74&amp;G76&amp;$H$7,'Rebate Reference Table'!$F$5:$K$125,6,FALSE))</f>
        <v>40</v>
      </c>
      <c r="J76" s="189">
        <v>2.6</v>
      </c>
      <c r="K76" s="189">
        <v>3</v>
      </c>
      <c r="L76" s="189" t="s">
        <v>162</v>
      </c>
      <c r="M76" s="40"/>
      <c r="N76" s="193" t="str">
        <f>IFERROR((H76*320)/(M76*43.56),"")</f>
        <v/>
      </c>
      <c r="O76" s="194">
        <f t="shared" ref="O76" si="22">H76*I76</f>
        <v>0</v>
      </c>
    </row>
    <row r="77" spans="1:15" ht="24" customHeight="1" x14ac:dyDescent="0.2">
      <c r="A77" s="127">
        <v>10850030</v>
      </c>
      <c r="B77" s="139" t="s">
        <v>277</v>
      </c>
      <c r="C77" s="137"/>
      <c r="D77" s="227"/>
      <c r="E77" s="221"/>
      <c r="F77" s="230"/>
      <c r="G77" s="185" t="s">
        <v>102</v>
      </c>
      <c r="H77" s="39"/>
      <c r="I77" s="190">
        <f>IF($H$7="Period 1", VLOOKUP(E74&amp;G77&amp;$H$7,'Rebate Reference Table'!$E$5:$M$125,3,FALSE), VLOOKUP(E74&amp;G77&amp;$H$7,'Rebate Reference Table'!$F$5:$K$125,6,FALSE))</f>
        <v>480</v>
      </c>
      <c r="J77" s="189">
        <v>2.6</v>
      </c>
      <c r="K77" s="189">
        <v>3</v>
      </c>
      <c r="L77" s="189" t="s">
        <v>162</v>
      </c>
      <c r="M77" s="40"/>
      <c r="N77" s="196" t="str">
        <f>IFERROR((H77*3840)/(M77*43.56),"")</f>
        <v/>
      </c>
      <c r="O77" s="194">
        <f t="shared" si="21"/>
        <v>0</v>
      </c>
    </row>
    <row r="78" spans="1:15" ht="24" customHeight="1" x14ac:dyDescent="0.2">
      <c r="A78" s="127">
        <v>10583050</v>
      </c>
      <c r="B78" s="139" t="s">
        <v>4</v>
      </c>
      <c r="C78" s="137"/>
      <c r="D78" s="132"/>
      <c r="E78" s="151" t="s">
        <v>77</v>
      </c>
      <c r="F78" s="202"/>
      <c r="G78" s="132" t="s">
        <v>97</v>
      </c>
      <c r="H78" s="39"/>
      <c r="I78" s="133">
        <f>IF($H$7="Period 1", VLOOKUP(E78&amp;G78&amp;$H$7,'Rebate Reference Table'!$E$5:$M$125,3,FALSE), VLOOKUP(E78&amp;G78&amp;$H$7,'Rebate Reference Table'!$F$5:$K$125,6,FALSE))</f>
        <v>15</v>
      </c>
      <c r="J78" s="207">
        <v>3.5</v>
      </c>
      <c r="K78" s="207">
        <v>3.5</v>
      </c>
      <c r="L78" s="134" t="s">
        <v>163</v>
      </c>
      <c r="M78" s="40"/>
      <c r="N78" s="148" t="str">
        <f>IFERROR((H78*50)/(M78*43.56),"")</f>
        <v/>
      </c>
      <c r="O78" s="141">
        <f t="shared" si="20"/>
        <v>0</v>
      </c>
    </row>
    <row r="79" spans="1:15" ht="24" customHeight="1" x14ac:dyDescent="0.2">
      <c r="A79" s="127"/>
      <c r="B79" s="139"/>
      <c r="C79" s="137"/>
      <c r="D79" s="257"/>
      <c r="E79" s="252" t="s">
        <v>91</v>
      </c>
      <c r="F79" s="253" t="s">
        <v>223</v>
      </c>
      <c r="G79" s="185" t="s">
        <v>120</v>
      </c>
      <c r="H79" s="39"/>
      <c r="I79" s="190">
        <f>IF($H$7="Period 1", VLOOKUP(E79&amp;G79&amp;$H$7,'Rebate Reference Table'!$E$5:$M$125,3,FALSE), VLOOKUP(E79&amp;G79&amp;$H$7,'Rebate Reference Table'!$F$5:$K$125,6,FALSE))</f>
        <v>35</v>
      </c>
      <c r="J79" s="191">
        <v>8</v>
      </c>
      <c r="K79" s="191">
        <v>14</v>
      </c>
      <c r="L79" s="189" t="s">
        <v>145</v>
      </c>
      <c r="M79" s="40"/>
      <c r="N79" s="196" t="str">
        <f>IFERROR(H79*16/M79,"")</f>
        <v/>
      </c>
      <c r="O79" s="194">
        <f t="shared" si="20"/>
        <v>0</v>
      </c>
    </row>
    <row r="80" spans="1:15" ht="24" customHeight="1" x14ac:dyDescent="0.2">
      <c r="A80" s="127">
        <v>10701401</v>
      </c>
      <c r="B80" s="139" t="s">
        <v>5</v>
      </c>
      <c r="C80" s="137"/>
      <c r="D80" s="227"/>
      <c r="E80" s="221"/>
      <c r="F80" s="230"/>
      <c r="G80" s="185" t="s">
        <v>191</v>
      </c>
      <c r="H80" s="39"/>
      <c r="I80" s="190">
        <f>IF($H$7="Period 1", VLOOKUP(E79&amp;G80&amp;$H$7,'Rebate Reference Table'!$E$5:$M$125,4,FALSE), VLOOKUP(E79&amp;G80&amp;$H$7,'Rebate Reference Table'!$F$5:$K$125,6,FALSE))</f>
        <v>55</v>
      </c>
      <c r="J80" s="191">
        <v>8</v>
      </c>
      <c r="K80" s="191">
        <v>14</v>
      </c>
      <c r="L80" s="189" t="s">
        <v>145</v>
      </c>
      <c r="M80" s="40"/>
      <c r="N80" s="196" t="str">
        <f>IFERROR(H80*16/M80,"")</f>
        <v/>
      </c>
      <c r="O80" s="194">
        <f t="shared" si="20"/>
        <v>0</v>
      </c>
    </row>
    <row r="81" spans="1:15" ht="24" customHeight="1" x14ac:dyDescent="0.2">
      <c r="A81" s="127">
        <v>10699170</v>
      </c>
      <c r="B81" s="139" t="s">
        <v>6</v>
      </c>
      <c r="C81" s="137"/>
      <c r="D81" s="142"/>
      <c r="E81" s="151" t="s">
        <v>90</v>
      </c>
      <c r="F81" s="202" t="s">
        <v>222</v>
      </c>
      <c r="G81" s="132" t="s">
        <v>121</v>
      </c>
      <c r="H81" s="39"/>
      <c r="I81" s="133">
        <f>IF($H$7="Period 1", VLOOKUP(E81&amp;G81&amp;$H$7,'Rebate Reference Table'!$E$5:$M$125,3,FALSE), VLOOKUP(E81&amp;G81&amp;$H$7,'Rebate Reference Table'!$F$5:$K$125,6,FALSE))</f>
        <v>30</v>
      </c>
      <c r="J81" s="143">
        <v>0.75</v>
      </c>
      <c r="K81" s="143">
        <v>2</v>
      </c>
      <c r="L81" s="134" t="s">
        <v>145</v>
      </c>
      <c r="M81" s="40"/>
      <c r="N81" s="148" t="str">
        <f>IFERROR(H81*1.25/M81,"")</f>
        <v/>
      </c>
      <c r="O81" s="141">
        <f t="shared" si="20"/>
        <v>0</v>
      </c>
    </row>
    <row r="82" spans="1:15" ht="24" customHeight="1" x14ac:dyDescent="0.2">
      <c r="A82" s="127">
        <v>10555225</v>
      </c>
      <c r="B82" s="139" t="s">
        <v>7</v>
      </c>
      <c r="C82" s="137"/>
      <c r="D82" s="262"/>
      <c r="E82" s="252" t="s">
        <v>72</v>
      </c>
      <c r="F82" s="260" t="s">
        <v>221</v>
      </c>
      <c r="G82" s="185" t="s">
        <v>96</v>
      </c>
      <c r="H82" s="39"/>
      <c r="I82" s="190">
        <f>IF($H$7="Period 1", VLOOKUP(E82&amp;G82&amp;$H$7,'Rebate Reference Table'!$E$5:$M$125,3,FALSE), VLOOKUP(E82&amp;G82&amp;$H$7,'Rebate Reference Table'!$F$5:$K$125,6,FALSE))</f>
        <v>15</v>
      </c>
      <c r="J82" s="191">
        <v>0.45910000000000001</v>
      </c>
      <c r="K82" s="191">
        <v>1.1020000000000001</v>
      </c>
      <c r="L82" s="189" t="s">
        <v>162</v>
      </c>
      <c r="M82" s="40"/>
      <c r="N82" s="193" t="str">
        <f>IFERROR((H82*320)/(M82*43.56),"")</f>
        <v/>
      </c>
      <c r="O82" s="194">
        <f t="shared" ref="O82:O88" si="23">H82*I82</f>
        <v>0</v>
      </c>
    </row>
    <row r="83" spans="1:15" ht="24" customHeight="1" x14ac:dyDescent="0.2">
      <c r="A83" s="127"/>
      <c r="B83" s="139"/>
      <c r="C83" s="137"/>
      <c r="D83" s="263"/>
      <c r="E83" s="220"/>
      <c r="F83" s="261"/>
      <c r="G83" s="185" t="s">
        <v>195</v>
      </c>
      <c r="H83" s="39"/>
      <c r="I83" s="190">
        <f>IF($H$7="Period 1", VLOOKUP(E82&amp;G83&amp;$H$7,'Rebate Reference Table'!$E$5:$M$125,4,FALSE), VLOOKUP(E82&amp;G83&amp;$H$7,'Rebate Reference Table'!$F$5:$K$125,6,FALSE))</f>
        <v>20</v>
      </c>
      <c r="J83" s="191">
        <v>0.45910000000000001</v>
      </c>
      <c r="K83" s="191">
        <v>1.1020000000000001</v>
      </c>
      <c r="L83" s="189" t="s">
        <v>162</v>
      </c>
      <c r="M83" s="40"/>
      <c r="N83" s="193" t="str">
        <f>IFERROR((H83*320)/(M83*43.56),"")</f>
        <v/>
      </c>
      <c r="O83" s="194">
        <f t="shared" ref="O83" si="24">H83*I83</f>
        <v>0</v>
      </c>
    </row>
    <row r="84" spans="1:15" ht="24" customHeight="1" x14ac:dyDescent="0.2">
      <c r="A84" s="127">
        <v>10555030</v>
      </c>
      <c r="B84" s="139" t="s">
        <v>8</v>
      </c>
      <c r="C84" s="137"/>
      <c r="D84" s="263"/>
      <c r="E84" s="220"/>
      <c r="F84" s="229"/>
      <c r="G84" s="185" t="s">
        <v>102</v>
      </c>
      <c r="H84" s="39"/>
      <c r="I84" s="190">
        <f>IF($H$7="Period 1", VLOOKUP(E82&amp;G84&amp;$H$7,'Rebate Reference Table'!$E$5:$M$125,3,FALSE), VLOOKUP(E82&amp;G84&amp;$H$7,'Rebate Reference Table'!$F$5:$K$125,6,FALSE))</f>
        <v>240</v>
      </c>
      <c r="J84" s="191">
        <v>0.45910000000000001</v>
      </c>
      <c r="K84" s="191">
        <v>1.1020000000000001</v>
      </c>
      <c r="L84" s="189" t="s">
        <v>162</v>
      </c>
      <c r="M84" s="40"/>
      <c r="N84" s="196" t="str">
        <f>IFERROR((H84*3840)/(M84*43.56),"")</f>
        <v/>
      </c>
      <c r="O84" s="194">
        <f t="shared" si="23"/>
        <v>0</v>
      </c>
    </row>
    <row r="85" spans="1:15" ht="24" customHeight="1" x14ac:dyDescent="0.2">
      <c r="A85" s="127">
        <v>10555250</v>
      </c>
      <c r="B85" s="153" t="s">
        <v>119</v>
      </c>
      <c r="C85" s="150"/>
      <c r="D85" s="264"/>
      <c r="E85" s="221"/>
      <c r="F85" s="230"/>
      <c r="G85" s="185" t="s">
        <v>103</v>
      </c>
      <c r="H85" s="39"/>
      <c r="I85" s="190">
        <f>IF($H$7="Period 1", VLOOKUP(E82&amp;G85&amp;$H$7,'Rebate Reference Table'!$E$5:$M$125,3,FALSE), VLOOKUP(E82&amp;G85&amp;$H$7,'Rebate Reference Table'!$F$5:$K$125,6,FALSE))</f>
        <v>2000</v>
      </c>
      <c r="J85" s="191">
        <v>0.45910000000000001</v>
      </c>
      <c r="K85" s="191">
        <v>1.1020000000000001</v>
      </c>
      <c r="L85" s="189" t="s">
        <v>162</v>
      </c>
      <c r="M85" s="40"/>
      <c r="N85" s="196" t="str">
        <f>IFERROR((H85*32000)/(M85*43.56),"")</f>
        <v/>
      </c>
      <c r="O85" s="194">
        <f t="shared" si="23"/>
        <v>0</v>
      </c>
    </row>
    <row r="86" spans="1:15" ht="24" customHeight="1" x14ac:dyDescent="0.2">
      <c r="A86" s="127">
        <v>10070225</v>
      </c>
      <c r="B86" s="139" t="s">
        <v>9</v>
      </c>
      <c r="C86" s="137"/>
      <c r="D86" s="246"/>
      <c r="E86" s="268" t="s">
        <v>59</v>
      </c>
      <c r="F86" s="254" t="s">
        <v>220</v>
      </c>
      <c r="G86" s="132" t="s">
        <v>96</v>
      </c>
      <c r="H86" s="39"/>
      <c r="I86" s="133">
        <f>IF($H$7="Period 1", VLOOKUP(E86&amp;G86&amp;$H$7,'Rebate Reference Table'!$E$5:$M$125,3,FALSE), VLOOKUP(E86&amp;G86&amp;$H$7,'Rebate Reference Table'!$F$5:$K$125,6,FALSE))</f>
        <v>15</v>
      </c>
      <c r="J86" s="143">
        <v>0.91</v>
      </c>
      <c r="K86" s="143">
        <v>1.29</v>
      </c>
      <c r="L86" s="134" t="s">
        <v>162</v>
      </c>
      <c r="M86" s="40"/>
      <c r="N86" s="135" t="str">
        <f>IFERROR((H86*320)/(M86*43.56),"")</f>
        <v/>
      </c>
      <c r="O86" s="141">
        <f t="shared" si="23"/>
        <v>0</v>
      </c>
    </row>
    <row r="87" spans="1:15" ht="24" customHeight="1" x14ac:dyDescent="0.2">
      <c r="A87" s="127"/>
      <c r="B87" s="139"/>
      <c r="C87" s="137"/>
      <c r="D87" s="247"/>
      <c r="E87" s="269"/>
      <c r="F87" s="255"/>
      <c r="G87" s="132" t="s">
        <v>195</v>
      </c>
      <c r="H87" s="39"/>
      <c r="I87" s="133">
        <f>IF($H$7="Period 1", VLOOKUP(E86&amp;G87&amp;$H$7,'Rebate Reference Table'!$E$5:$M$125,4,FALSE), VLOOKUP(E86&amp;G87&amp;$H$7,'Rebate Reference Table'!$F$5:$K$125,6,FALSE))</f>
        <v>20</v>
      </c>
      <c r="J87" s="143">
        <v>0.91</v>
      </c>
      <c r="K87" s="143">
        <v>1.29</v>
      </c>
      <c r="L87" s="134" t="s">
        <v>162</v>
      </c>
      <c r="M87" s="40"/>
      <c r="N87" s="135" t="str">
        <f>IFERROR((H87*320)/(M87*43.56),"")</f>
        <v/>
      </c>
      <c r="O87" s="141">
        <f t="shared" ref="O87" si="25">H87*I87</f>
        <v>0</v>
      </c>
    </row>
    <row r="88" spans="1:15" ht="24" customHeight="1" x14ac:dyDescent="0.2">
      <c r="A88" s="127">
        <v>10070030</v>
      </c>
      <c r="B88" s="139" t="s">
        <v>10</v>
      </c>
      <c r="C88" s="137"/>
      <c r="D88" s="248"/>
      <c r="E88" s="270"/>
      <c r="F88" s="256"/>
      <c r="G88" s="132" t="s">
        <v>102</v>
      </c>
      <c r="H88" s="39"/>
      <c r="I88" s="133">
        <f>IF($H$7="Period 1", VLOOKUP(E86&amp;G88&amp;$H$7,'Rebate Reference Table'!$E$5:$M$125,3,FALSE), VLOOKUP(E86&amp;G88&amp;$H$7,'Rebate Reference Table'!$F$5:$K$125,6,FALSE))</f>
        <v>240</v>
      </c>
      <c r="J88" s="143">
        <v>0.91</v>
      </c>
      <c r="K88" s="143">
        <v>1.29</v>
      </c>
      <c r="L88" s="134" t="s">
        <v>162</v>
      </c>
      <c r="M88" s="40"/>
      <c r="N88" s="148" t="str">
        <f>IFERROR((H88*3840)/(M88*43.56),"")</f>
        <v/>
      </c>
      <c r="O88" s="141">
        <f t="shared" si="23"/>
        <v>0</v>
      </c>
    </row>
    <row r="89" spans="1:15" ht="24" customHeight="1" x14ac:dyDescent="0.2">
      <c r="A89" s="176">
        <v>10111225</v>
      </c>
      <c r="B89" s="130" t="s">
        <v>11</v>
      </c>
      <c r="C89" s="150"/>
      <c r="D89" s="257"/>
      <c r="E89" s="252" t="s">
        <v>60</v>
      </c>
      <c r="F89" s="260" t="s">
        <v>218</v>
      </c>
      <c r="G89" s="185" t="s">
        <v>96</v>
      </c>
      <c r="H89" s="39"/>
      <c r="I89" s="190">
        <f>IF($H$7="Period 1", VLOOKUP(E89&amp;G89&amp;$H$7,'Rebate Reference Table'!$E$5:$M$125,3,FALSE), VLOOKUP(E89&amp;G89&amp;$H$7,'Rebate Reference Table'!$F$5:$K$125,6,FALSE))</f>
        <v>15</v>
      </c>
      <c r="J89" s="191">
        <v>0.75</v>
      </c>
      <c r="K89" s="191">
        <v>1.1000000000000001</v>
      </c>
      <c r="L89" s="189" t="s">
        <v>162</v>
      </c>
      <c r="M89" s="40"/>
      <c r="N89" s="193" t="str">
        <f>IFERROR((H89*320)/(M89*43.56),"")</f>
        <v/>
      </c>
      <c r="O89" s="194">
        <f t="shared" ref="O89:O93" si="26">H89*I89</f>
        <v>0</v>
      </c>
    </row>
    <row r="90" spans="1:15" ht="24" customHeight="1" x14ac:dyDescent="0.2">
      <c r="A90" s="176"/>
      <c r="B90" s="130"/>
      <c r="C90" s="150"/>
      <c r="D90" s="226"/>
      <c r="E90" s="220"/>
      <c r="F90" s="261"/>
      <c r="G90" s="185" t="s">
        <v>195</v>
      </c>
      <c r="H90" s="39"/>
      <c r="I90" s="190">
        <f>IF($H$7="Period 1", VLOOKUP(E89&amp;G90&amp;$H$7,'Rebate Reference Table'!$E$5:$M$125,4,FALSE), VLOOKUP(E89&amp;G90&amp;$H$7,'Rebate Reference Table'!$F$5:$K$125,6,FALSE))</f>
        <v>20</v>
      </c>
      <c r="J90" s="191">
        <v>0.75</v>
      </c>
      <c r="K90" s="191">
        <v>1.1000000000000001</v>
      </c>
      <c r="L90" s="189" t="s">
        <v>162</v>
      </c>
      <c r="M90" s="40"/>
      <c r="N90" s="196" t="str">
        <f>IFERROR((H90*320)/(M90*43.56),"")</f>
        <v/>
      </c>
      <c r="O90" s="194">
        <f t="shared" si="26"/>
        <v>0</v>
      </c>
    </row>
    <row r="91" spans="1:15" ht="24" customHeight="1" x14ac:dyDescent="0.2">
      <c r="A91" s="176">
        <v>10111030</v>
      </c>
      <c r="B91" s="130" t="s">
        <v>12</v>
      </c>
      <c r="C91" s="150"/>
      <c r="D91" s="226"/>
      <c r="E91" s="220"/>
      <c r="F91" s="261"/>
      <c r="G91" s="185" t="s">
        <v>102</v>
      </c>
      <c r="H91" s="39"/>
      <c r="I91" s="190">
        <f>IF($H$7="Period 1", VLOOKUP(E89&amp;G91&amp;$H$7,'Rebate Reference Table'!$E$5:$M$125,3,FALSE), VLOOKUP(E89&amp;G91&amp;$H$7,'Rebate Reference Table'!$F$5:$K$125,6,FALSE))</f>
        <v>240</v>
      </c>
      <c r="J91" s="191">
        <v>0.75</v>
      </c>
      <c r="K91" s="191">
        <v>1.1000000000000001</v>
      </c>
      <c r="L91" s="189" t="s">
        <v>162</v>
      </c>
      <c r="M91" s="40"/>
      <c r="N91" s="196" t="str">
        <f>IFERROR((H91*3840)/(M91*43.56),"")</f>
        <v/>
      </c>
      <c r="O91" s="194">
        <f t="shared" ref="O91" si="27">H91*I91</f>
        <v>0</v>
      </c>
    </row>
    <row r="92" spans="1:15" ht="24" customHeight="1" x14ac:dyDescent="0.2">
      <c r="A92" s="176">
        <v>10111250</v>
      </c>
      <c r="B92" s="130" t="s">
        <v>13</v>
      </c>
      <c r="C92" s="150"/>
      <c r="D92" s="227"/>
      <c r="E92" s="221"/>
      <c r="F92" s="275"/>
      <c r="G92" s="185" t="s">
        <v>103</v>
      </c>
      <c r="H92" s="39"/>
      <c r="I92" s="190">
        <f>IF($H$7="Period 1", VLOOKUP(E89&amp;G92&amp;$H$7,'Rebate Reference Table'!$E$5:$M$125,3,FALSE), VLOOKUP(E89&amp;G92&amp;$H$7,'Rebate Reference Table'!$F$5:$K$125,6,FALSE))</f>
        <v>2000</v>
      </c>
      <c r="J92" s="191">
        <v>0.75</v>
      </c>
      <c r="K92" s="191">
        <v>1.1000000000000001</v>
      </c>
      <c r="L92" s="189" t="s">
        <v>162</v>
      </c>
      <c r="M92" s="40"/>
      <c r="N92" s="196" t="str">
        <f>IFERROR((H92*32000)/(M92*43.56),"")</f>
        <v/>
      </c>
      <c r="O92" s="194">
        <f t="shared" si="26"/>
        <v>0</v>
      </c>
    </row>
    <row r="93" spans="1:15" ht="24" customHeight="1" x14ac:dyDescent="0.2">
      <c r="A93" s="127">
        <v>10139225</v>
      </c>
      <c r="B93" s="139" t="s">
        <v>14</v>
      </c>
      <c r="C93" s="137"/>
      <c r="D93" s="246"/>
      <c r="E93" s="243" t="s">
        <v>61</v>
      </c>
      <c r="F93" s="254" t="s">
        <v>217</v>
      </c>
      <c r="G93" s="132" t="s">
        <v>96</v>
      </c>
      <c r="H93" s="39"/>
      <c r="I93" s="133">
        <f>IF($H$7="Period 1", VLOOKUP(E93&amp;G93&amp;$H$7,'Rebate Reference Table'!$E$5:$M$125,3,FALSE), VLOOKUP(E93&amp;G93&amp;$H$7,'Rebate Reference Table'!$F$5:$K$125,6,FALSE))</f>
        <v>15</v>
      </c>
      <c r="J93" s="143">
        <v>0.73</v>
      </c>
      <c r="K93" s="143">
        <v>1.1000000000000001</v>
      </c>
      <c r="L93" s="134" t="s">
        <v>162</v>
      </c>
      <c r="M93" s="40"/>
      <c r="N93" s="135" t="str">
        <f>IFERROR((H93*320)/(M93*43.56),"")</f>
        <v/>
      </c>
      <c r="O93" s="141">
        <f t="shared" si="26"/>
        <v>0</v>
      </c>
    </row>
    <row r="94" spans="1:15" ht="24" customHeight="1" x14ac:dyDescent="0.2">
      <c r="A94" s="127"/>
      <c r="B94" s="139"/>
      <c r="C94" s="137"/>
      <c r="D94" s="247"/>
      <c r="E94" s="244"/>
      <c r="F94" s="255"/>
      <c r="G94" s="132" t="s">
        <v>195</v>
      </c>
      <c r="H94" s="39"/>
      <c r="I94" s="133">
        <f>IF($H$7="Period 1", VLOOKUP(E93&amp;G94&amp;$H$7,'Rebate Reference Table'!$E$5:$M$125,4,FALSE), VLOOKUP(E93&amp;G94&amp;$H$7,'Rebate Reference Table'!$F$5:$K$125,6,FALSE))</f>
        <v>20</v>
      </c>
      <c r="J94" s="143">
        <v>0.73</v>
      </c>
      <c r="K94" s="143">
        <v>1.1000000000000001</v>
      </c>
      <c r="L94" s="134" t="s">
        <v>162</v>
      </c>
      <c r="M94" s="40"/>
      <c r="N94" s="135" t="str">
        <f>IFERROR((H94*320)/(M94*43.56),"")</f>
        <v/>
      </c>
      <c r="O94" s="141">
        <f t="shared" ref="O94:O96" si="28">H94*I94</f>
        <v>0</v>
      </c>
    </row>
    <row r="95" spans="1:15" ht="24" customHeight="1" x14ac:dyDescent="0.2">
      <c r="A95" s="127">
        <v>10139030</v>
      </c>
      <c r="B95" s="139" t="s">
        <v>15</v>
      </c>
      <c r="C95" s="137"/>
      <c r="D95" s="247"/>
      <c r="E95" s="244"/>
      <c r="F95" s="255"/>
      <c r="G95" s="132" t="s">
        <v>102</v>
      </c>
      <c r="H95" s="39"/>
      <c r="I95" s="133">
        <f>IF($H$7="Period 1", VLOOKUP(E93&amp;G95&amp;$H$7,'Rebate Reference Table'!$E$5:$M$125,3,FALSE), VLOOKUP(E93&amp;G95&amp;$H$7,'Rebate Reference Table'!$F$5:$K$125,6,FALSE))</f>
        <v>240</v>
      </c>
      <c r="J95" s="143">
        <v>0.73</v>
      </c>
      <c r="K95" s="143">
        <v>1.1000000000000001</v>
      </c>
      <c r="L95" s="134" t="s">
        <v>162</v>
      </c>
      <c r="M95" s="40"/>
      <c r="N95" s="148" t="str">
        <f>IFERROR((H95*3840)/(M95*43.56),"")</f>
        <v/>
      </c>
      <c r="O95" s="141">
        <f t="shared" si="28"/>
        <v>0</v>
      </c>
    </row>
    <row r="96" spans="1:15" ht="24" customHeight="1" x14ac:dyDescent="0.2">
      <c r="A96" s="127"/>
      <c r="B96" s="139"/>
      <c r="C96" s="137"/>
      <c r="D96" s="248"/>
      <c r="E96" s="245"/>
      <c r="F96" s="256"/>
      <c r="G96" s="132" t="s">
        <v>103</v>
      </c>
      <c r="H96" s="39"/>
      <c r="I96" s="133">
        <f>IF($H$7="Period 1", VLOOKUP(E93&amp;G96&amp;$H$7,'Rebate Reference Table'!$E$5:$M$125,3,FALSE), VLOOKUP(E93&amp;G96&amp;$H$7,'Rebate Reference Table'!$F$5:$K$125,6,FALSE))</f>
        <v>2000</v>
      </c>
      <c r="J96" s="143">
        <v>0.75</v>
      </c>
      <c r="K96" s="143">
        <v>1.1000000000000001</v>
      </c>
      <c r="L96" s="134" t="s">
        <v>162</v>
      </c>
      <c r="M96" s="40"/>
      <c r="N96" s="148" t="str">
        <f>IFERROR((H96*32000)/(M96*43.56),"")</f>
        <v/>
      </c>
      <c r="O96" s="136">
        <f t="shared" si="28"/>
        <v>0</v>
      </c>
    </row>
    <row r="97" spans="1:15" ht="24" customHeight="1" x14ac:dyDescent="0.2">
      <c r="A97" s="127">
        <v>10181174</v>
      </c>
      <c r="B97" s="139" t="s">
        <v>16</v>
      </c>
      <c r="C97" s="137"/>
      <c r="D97" s="257"/>
      <c r="E97" s="252" t="s">
        <v>62</v>
      </c>
      <c r="F97" s="253" t="s">
        <v>216</v>
      </c>
      <c r="G97" s="185" t="s">
        <v>122</v>
      </c>
      <c r="H97" s="39"/>
      <c r="I97" s="190">
        <f>IF($H$7="Period 1", VLOOKUP(E97&amp;G97&amp;$H$7,'Rebate Reference Table'!$E$5:$M$125,3,FALSE), VLOOKUP(E97&amp;G97&amp;$H$7,'Rebate Reference Table'!$F$5:$K$125,6,FALSE))</f>
        <v>4</v>
      </c>
      <c r="J97" s="191">
        <v>0.25</v>
      </c>
      <c r="K97" s="191">
        <v>1</v>
      </c>
      <c r="L97" s="189" t="s">
        <v>145</v>
      </c>
      <c r="M97" s="40"/>
      <c r="N97" s="196" t="str">
        <f>IFERROR(H97*2/M97,"")</f>
        <v/>
      </c>
      <c r="O97" s="194">
        <f t="shared" ref="O97:O109" si="29">H97*I97</f>
        <v>0</v>
      </c>
    </row>
    <row r="98" spans="1:15" ht="24" customHeight="1" x14ac:dyDescent="0.2">
      <c r="A98" s="127">
        <v>10181880</v>
      </c>
      <c r="B98" s="139" t="s">
        <v>17</v>
      </c>
      <c r="C98" s="137"/>
      <c r="D98" s="227"/>
      <c r="E98" s="221"/>
      <c r="F98" s="230"/>
      <c r="G98" s="185" t="s">
        <v>104</v>
      </c>
      <c r="H98" s="39"/>
      <c r="I98" s="190">
        <f>IF($H$7="Period 1", VLOOKUP(E97&amp;G98&amp;$H$7,'Rebate Reference Table'!$E$5:$M$125,3,FALSE), VLOOKUP(E97&amp;G98&amp;$H$7,'Rebate Reference Table'!$F$5:$K$125,6,FALSE))</f>
        <v>16</v>
      </c>
      <c r="J98" s="191">
        <v>0.25</v>
      </c>
      <c r="K98" s="191">
        <v>1</v>
      </c>
      <c r="L98" s="189" t="s">
        <v>145</v>
      </c>
      <c r="M98" s="40"/>
      <c r="N98" s="196" t="str">
        <f>IFERROR(H98*8/M98,"")</f>
        <v/>
      </c>
      <c r="O98" s="194">
        <f t="shared" si="29"/>
        <v>0</v>
      </c>
    </row>
    <row r="99" spans="1:15" ht="24" customHeight="1" x14ac:dyDescent="0.2">
      <c r="A99" s="127">
        <v>10195225</v>
      </c>
      <c r="B99" s="139" t="s">
        <v>18</v>
      </c>
      <c r="C99" s="150"/>
      <c r="D99" s="246"/>
      <c r="E99" s="243" t="s">
        <v>63</v>
      </c>
      <c r="F99" s="265" t="s">
        <v>219</v>
      </c>
      <c r="G99" s="132" t="s">
        <v>96</v>
      </c>
      <c r="H99" s="39"/>
      <c r="I99" s="133">
        <f>IF($H$7="Period 1", VLOOKUP(E99&amp;G99&amp;$H$7,'Rebate Reference Table'!$E$5:$M$125,3,FALSE), VLOOKUP(E99&amp;G99&amp;$H$7,'Rebate Reference Table'!$F$5:$K$125,6,FALSE))</f>
        <v>10</v>
      </c>
      <c r="J99" s="143">
        <v>0.73</v>
      </c>
      <c r="K99" s="143">
        <v>1.1000000000000001</v>
      </c>
      <c r="L99" s="134" t="s">
        <v>162</v>
      </c>
      <c r="M99" s="40"/>
      <c r="N99" s="135" t="str">
        <f>IFERROR((H99*320)/(M99*43.56),"")</f>
        <v/>
      </c>
      <c r="O99" s="141">
        <f t="shared" si="29"/>
        <v>0</v>
      </c>
    </row>
    <row r="100" spans="1:15" ht="24" customHeight="1" x14ac:dyDescent="0.2">
      <c r="A100" s="127"/>
      <c r="B100" s="139"/>
      <c r="C100" s="150"/>
      <c r="D100" s="247"/>
      <c r="E100" s="244"/>
      <c r="F100" s="266"/>
      <c r="G100" s="132" t="s">
        <v>196</v>
      </c>
      <c r="H100" s="39"/>
      <c r="I100" s="133">
        <f>IF($H$7="Period 1", VLOOKUP(E99&amp;G100&amp;$H$7,'Rebate Reference Table'!$E$5:$M$125,4,FALSE), VLOOKUP(E99&amp;G100&amp;$H$7,'Rebate Reference Table'!$F$5:$K$125,6,FALSE))</f>
        <v>50</v>
      </c>
      <c r="J100" s="143">
        <v>0.73</v>
      </c>
      <c r="K100" s="143">
        <v>1.1000000000000001</v>
      </c>
      <c r="L100" s="134" t="s">
        <v>162</v>
      </c>
      <c r="M100" s="40"/>
      <c r="N100" s="135" t="str">
        <f>IFERROR((H100*320)/(M100*43.56),"")</f>
        <v/>
      </c>
      <c r="O100" s="141">
        <f t="shared" si="29"/>
        <v>0</v>
      </c>
    </row>
    <row r="101" spans="1:15" ht="24" customHeight="1" x14ac:dyDescent="0.2">
      <c r="A101" s="127"/>
      <c r="B101" s="139"/>
      <c r="C101" s="150"/>
      <c r="D101" s="247"/>
      <c r="E101" s="244"/>
      <c r="F101" s="266"/>
      <c r="G101" s="132" t="s">
        <v>310</v>
      </c>
      <c r="H101" s="39"/>
      <c r="I101" s="133">
        <f>IF($H$7="Period 1", VLOOKUP(E99&amp;G101&amp;$H$7,'Rebate Reference Table'!$E$5:$M$125,5,FALSE), VLOOKUP(E99&amp;G101&amp;$H$7,'Rebate Reference Table'!$F$5:$K$125,6,FALSE))</f>
        <v>60</v>
      </c>
      <c r="J101" s="143">
        <v>0.73</v>
      </c>
      <c r="K101" s="143">
        <v>1.1000000000000001</v>
      </c>
      <c r="L101" s="134" t="s">
        <v>162</v>
      </c>
      <c r="M101" s="40"/>
      <c r="N101" s="135" t="str">
        <f>IFERROR((H101*320)/(M101*43.56),"")</f>
        <v/>
      </c>
      <c r="O101" s="141">
        <f t="shared" ref="O101" si="30">H101*I101</f>
        <v>0</v>
      </c>
    </row>
    <row r="102" spans="1:15" ht="24" customHeight="1" x14ac:dyDescent="0.2">
      <c r="A102" s="127">
        <v>10195030</v>
      </c>
      <c r="B102" s="139" t="s">
        <v>19</v>
      </c>
      <c r="C102" s="150"/>
      <c r="D102" s="248"/>
      <c r="E102" s="245"/>
      <c r="F102" s="267"/>
      <c r="G102" s="132" t="s">
        <v>102</v>
      </c>
      <c r="H102" s="39"/>
      <c r="I102" s="133">
        <f>IF($H$7="Period 1", VLOOKUP(E99&amp;G102&amp;$H$7,'Rebate Reference Table'!$E$5:$M$125,3,FALSE), VLOOKUP(E99&amp;G102&amp;$H$7,'Rebate Reference Table'!$F$5:$K$125,6,FALSE))</f>
        <v>600</v>
      </c>
      <c r="J102" s="143">
        <v>0.73</v>
      </c>
      <c r="K102" s="143">
        <v>1.1000000000000001</v>
      </c>
      <c r="L102" s="134" t="s">
        <v>162</v>
      </c>
      <c r="M102" s="40"/>
      <c r="N102" s="148" t="str">
        <f>IFERROR((H102*3840)/(M102*43.56),"")</f>
        <v/>
      </c>
      <c r="O102" s="141">
        <f t="shared" si="29"/>
        <v>0</v>
      </c>
    </row>
    <row r="103" spans="1:15" ht="24" customHeight="1" x14ac:dyDescent="0.2">
      <c r="A103" s="149">
        <v>10724225</v>
      </c>
      <c r="B103" s="130" t="s">
        <v>21</v>
      </c>
      <c r="C103" s="150"/>
      <c r="D103" s="257"/>
      <c r="E103" s="252" t="s">
        <v>92</v>
      </c>
      <c r="F103" s="260" t="s">
        <v>214</v>
      </c>
      <c r="G103" s="185" t="s">
        <v>96</v>
      </c>
      <c r="H103" s="39"/>
      <c r="I103" s="190">
        <f>IF($H$7="Period 1", VLOOKUP(E103&amp;G103&amp;$H$7,'Rebate Reference Table'!$E$5:$M$125,3,FALSE), VLOOKUP(E103&amp;G103&amp;$H$7,'Rebate Reference Table'!$F$5:$K$125,6,FALSE))</f>
        <v>10</v>
      </c>
      <c r="J103" s="192" t="s">
        <v>149</v>
      </c>
      <c r="K103" s="192" t="s">
        <v>149</v>
      </c>
      <c r="L103" s="189" t="s">
        <v>162</v>
      </c>
      <c r="M103" s="40"/>
      <c r="N103" s="193" t="str">
        <f>IFERROR((H103*320)/(M103*43.56),"")</f>
        <v/>
      </c>
      <c r="O103" s="194">
        <f>H103*I103</f>
        <v>0</v>
      </c>
    </row>
    <row r="104" spans="1:15" ht="34.5" customHeight="1" x14ac:dyDescent="0.2">
      <c r="A104" s="149">
        <v>10724030</v>
      </c>
      <c r="B104" s="130" t="s">
        <v>22</v>
      </c>
      <c r="C104" s="150"/>
      <c r="D104" s="227"/>
      <c r="E104" s="221"/>
      <c r="F104" s="230"/>
      <c r="G104" s="185" t="s">
        <v>102</v>
      </c>
      <c r="H104" s="39"/>
      <c r="I104" s="190">
        <f>IF($H$7="Period 1", VLOOKUP(E103&amp;G104&amp;$H$7,'Rebate Reference Table'!$E$5:$M$125,3,FALSE), VLOOKUP(E103&amp;G104&amp;$H$7,'Rebate Reference Table'!$F$5:$K$125,6,FALSE))</f>
        <v>120</v>
      </c>
      <c r="J104" s="192" t="s">
        <v>149</v>
      </c>
      <c r="K104" s="192" t="s">
        <v>149</v>
      </c>
      <c r="L104" s="189" t="s">
        <v>162</v>
      </c>
      <c r="M104" s="40"/>
      <c r="N104" s="196" t="str">
        <f>IFERROR((H104*3840)/(M104*43.56),"")</f>
        <v/>
      </c>
      <c r="O104" s="194">
        <f>H104*I104</f>
        <v>0</v>
      </c>
    </row>
    <row r="105" spans="1:15" ht="24" customHeight="1" x14ac:dyDescent="0.2">
      <c r="A105" s="149"/>
      <c r="B105" s="130"/>
      <c r="C105" s="150"/>
      <c r="D105" s="246"/>
      <c r="E105" s="243" t="s">
        <v>200</v>
      </c>
      <c r="F105" s="265" t="s">
        <v>290</v>
      </c>
      <c r="G105" s="132" t="s">
        <v>203</v>
      </c>
      <c r="H105" s="39"/>
      <c r="I105" s="133">
        <f>IF($H$7="Period 1", VLOOKUP(E105&amp;G105&amp;$H$7,'Rebate Reference Table'!$E$5:$M$125,3,FALSE), VLOOKUP(E105&amp;G105&amp;$H$7,'Rebate Reference Table'!$F$5:$K$125,6,FALSE))</f>
        <v>5</v>
      </c>
      <c r="J105" s="143">
        <v>8</v>
      </c>
      <c r="K105" s="143">
        <v>10</v>
      </c>
      <c r="L105" s="134" t="s">
        <v>145</v>
      </c>
      <c r="M105" s="40"/>
      <c r="N105" s="148" t="str">
        <f>IFERROR(H105*16/M105,"")</f>
        <v/>
      </c>
      <c r="O105" s="136">
        <f>H105*I105</f>
        <v>0</v>
      </c>
    </row>
    <row r="106" spans="1:15" ht="24" customHeight="1" x14ac:dyDescent="0.2">
      <c r="A106" s="149"/>
      <c r="B106" s="130"/>
      <c r="C106" s="150"/>
      <c r="D106" s="247"/>
      <c r="E106" s="244"/>
      <c r="F106" s="266"/>
      <c r="G106" s="203" t="s">
        <v>124</v>
      </c>
      <c r="H106" s="39"/>
      <c r="I106" s="133">
        <f>IF($H$7="Period 1", VLOOKUP(E105&amp;G106&amp;$H$7,'Rebate Reference Table'!$E$5:$M$125,3,FALSE), VLOOKUP(E105&amp;G106&amp;$H$7,'Rebate Reference Table'!$F$5:$K$125,6,FALSE))</f>
        <v>25</v>
      </c>
      <c r="J106" s="143">
        <v>8</v>
      </c>
      <c r="K106" s="143">
        <v>10</v>
      </c>
      <c r="L106" s="134" t="s">
        <v>145</v>
      </c>
      <c r="M106" s="40"/>
      <c r="N106" s="148" t="str">
        <f>IFERROR(H106*80/M106,"")</f>
        <v/>
      </c>
      <c r="O106" s="136">
        <f t="shared" ref="O106:O107" si="31">H106*I106</f>
        <v>0</v>
      </c>
    </row>
    <row r="107" spans="1:15" ht="24" customHeight="1" x14ac:dyDescent="0.2">
      <c r="A107" s="149"/>
      <c r="B107" s="130"/>
      <c r="C107" s="150"/>
      <c r="D107" s="248"/>
      <c r="E107" s="245"/>
      <c r="F107" s="267"/>
      <c r="G107" s="203" t="s">
        <v>204</v>
      </c>
      <c r="H107" s="39"/>
      <c r="I107" s="133">
        <f>IF($H$7="Period 1", VLOOKUP(E105&amp;G107&amp;$H$7,'Rebate Reference Table'!$E$5:$M$125,4,FALSE), VLOOKUP(E105&amp;G107&amp;$H$7,'Rebate Reference Table'!$F$5:$K$125,6,FALSE))</f>
        <v>50</v>
      </c>
      <c r="J107" s="143">
        <v>8</v>
      </c>
      <c r="K107" s="143">
        <v>10</v>
      </c>
      <c r="L107" s="134" t="s">
        <v>145</v>
      </c>
      <c r="M107" s="40"/>
      <c r="N107" s="148" t="str">
        <f>IFERROR(H107*80/M107,"")</f>
        <v/>
      </c>
      <c r="O107" s="136">
        <f t="shared" si="31"/>
        <v>0</v>
      </c>
    </row>
    <row r="108" spans="1:15" ht="24" customHeight="1" x14ac:dyDescent="0.2">
      <c r="A108" s="149">
        <v>10698861</v>
      </c>
      <c r="B108" s="130" t="s">
        <v>20</v>
      </c>
      <c r="C108" s="150"/>
      <c r="D108" s="272"/>
      <c r="E108" s="252" t="s">
        <v>205</v>
      </c>
      <c r="F108" s="260" t="s">
        <v>213</v>
      </c>
      <c r="G108" s="201" t="s">
        <v>105</v>
      </c>
      <c r="H108" s="39"/>
      <c r="I108" s="190">
        <f>IF($H$7="Period 1", VLOOKUP(E108&amp;G108&amp;$H$7,'Rebate Reference Table'!$E$5:$M$125,3,FALSE), VLOOKUP(E108&amp;G108&amp;$H$7,'Rebate Reference Table'!$F$5:$K$125,6,FALSE))</f>
        <v>6</v>
      </c>
      <c r="J108" s="191">
        <v>8</v>
      </c>
      <c r="K108" s="191">
        <v>12</v>
      </c>
      <c r="L108" s="189" t="s">
        <v>180</v>
      </c>
      <c r="M108" s="40"/>
      <c r="N108" s="196" t="str">
        <f>IFERROR(H108*16/M108,"")</f>
        <v/>
      </c>
      <c r="O108" s="195">
        <f t="shared" si="29"/>
        <v>0</v>
      </c>
    </row>
    <row r="109" spans="1:15" ht="24" customHeight="1" x14ac:dyDescent="0.2">
      <c r="A109" s="149"/>
      <c r="B109" s="130"/>
      <c r="C109" s="150"/>
      <c r="D109" s="272"/>
      <c r="E109" s="220"/>
      <c r="F109" s="229"/>
      <c r="G109" s="199" t="s">
        <v>106</v>
      </c>
      <c r="H109" s="39"/>
      <c r="I109" s="190">
        <f>IF($H$7="Period 1", VLOOKUP(E108&amp;G109&amp;$H$7,'Rebate Reference Table'!$E$5:$M$125,3,FALSE), VLOOKUP(E108&amp;G109&amp;$H$7,'Rebate Reference Table'!$F$5:$K$125,6,FALSE))</f>
        <v>25</v>
      </c>
      <c r="J109" s="191">
        <v>8</v>
      </c>
      <c r="K109" s="191">
        <v>12</v>
      </c>
      <c r="L109" s="189" t="s">
        <v>180</v>
      </c>
      <c r="M109" s="40"/>
      <c r="N109" s="196" t="str">
        <f>IFERROR(H109*64/M109,"")</f>
        <v/>
      </c>
      <c r="O109" s="195">
        <f t="shared" si="29"/>
        <v>0</v>
      </c>
    </row>
    <row r="110" spans="1:15" ht="24" customHeight="1" x14ac:dyDescent="0.2">
      <c r="A110" s="149"/>
      <c r="B110" s="130"/>
      <c r="C110" s="150"/>
      <c r="D110" s="272"/>
      <c r="E110" s="221"/>
      <c r="F110" s="230"/>
      <c r="G110" s="199" t="s">
        <v>206</v>
      </c>
      <c r="H110" s="39"/>
      <c r="I110" s="190">
        <f>IF($H$7="Period 1", VLOOKUP(E108&amp;G110&amp;$H$7,'Rebate Reference Table'!$E$5:$M$125,4,FALSE), VLOOKUP(E108&amp;G110&amp;$H$7,'Rebate Reference Table'!$F$5:$K$125,6,FALSE))</f>
        <v>30</v>
      </c>
      <c r="J110" s="191">
        <v>8</v>
      </c>
      <c r="K110" s="191">
        <v>12</v>
      </c>
      <c r="L110" s="189" t="s">
        <v>180</v>
      </c>
      <c r="M110" s="40"/>
      <c r="N110" s="196" t="str">
        <f>IFERROR(H110*64/M110,"")</f>
        <v/>
      </c>
      <c r="O110" s="195">
        <f t="shared" ref="O110" si="32">H110*I110</f>
        <v>0</v>
      </c>
    </row>
    <row r="111" spans="1:15" ht="24" customHeight="1" x14ac:dyDescent="0.2">
      <c r="A111" s="149">
        <v>10872041</v>
      </c>
      <c r="B111" s="130" t="s">
        <v>176</v>
      </c>
      <c r="C111" s="150"/>
      <c r="D111" s="246"/>
      <c r="E111" s="243" t="s">
        <v>320</v>
      </c>
      <c r="F111" s="265" t="s">
        <v>272</v>
      </c>
      <c r="G111" s="132" t="s">
        <v>111</v>
      </c>
      <c r="H111" s="39"/>
      <c r="I111" s="133">
        <f>IF($H$7="Period 1", VLOOKUP(E111&amp;G111&amp;$H$7,'Rebate Reference Table'!$E$5:$M$125,3,FALSE), VLOOKUP(E111&amp;G111&amp;$H$7,'Rebate Reference Table'!$F$5:$K$125,6,FALSE))</f>
        <v>85</v>
      </c>
      <c r="J111" s="143">
        <v>20</v>
      </c>
      <c r="K111" s="143">
        <v>20</v>
      </c>
      <c r="L111" s="134" t="s">
        <v>180</v>
      </c>
      <c r="M111" s="40"/>
      <c r="N111" s="148" t="str">
        <f>IFERROR(H111*128/M111,"")</f>
        <v/>
      </c>
      <c r="O111" s="141">
        <f t="shared" ref="O111" si="33">H111*I111</f>
        <v>0</v>
      </c>
    </row>
    <row r="112" spans="1:15" ht="24" customHeight="1" x14ac:dyDescent="0.2">
      <c r="A112" s="149"/>
      <c r="B112" s="130"/>
      <c r="C112" s="150"/>
      <c r="D112" s="247"/>
      <c r="E112" s="244"/>
      <c r="F112" s="266"/>
      <c r="G112" s="132" t="s">
        <v>210</v>
      </c>
      <c r="H112" s="39"/>
      <c r="I112" s="133">
        <f>IF($H$7="Period 1", VLOOKUP(E111&amp;G112&amp;$H$7,'Rebate Reference Table'!$E$5:$M$125,4,FALSE), VLOOKUP(E111&amp;G112&amp;$H$7,'Rebate Reference Table'!$F$5:$K$125,6,FALSE))</f>
        <v>120</v>
      </c>
      <c r="J112" s="143">
        <v>20</v>
      </c>
      <c r="K112" s="143">
        <v>20</v>
      </c>
      <c r="L112" s="134" t="s">
        <v>180</v>
      </c>
      <c r="M112" s="40"/>
      <c r="N112" s="148" t="str">
        <f t="shared" ref="N112" si="34">IFERROR(H112*128/M112,"")</f>
        <v/>
      </c>
      <c r="O112" s="141">
        <f t="shared" ref="O112" si="35">H112*I112</f>
        <v>0</v>
      </c>
    </row>
    <row r="113" spans="1:15" ht="24" customHeight="1" x14ac:dyDescent="0.2">
      <c r="A113" s="149">
        <v>10361225</v>
      </c>
      <c r="B113" s="130" t="s">
        <v>23</v>
      </c>
      <c r="C113" s="150"/>
      <c r="D113" s="257"/>
      <c r="E113" s="252" t="s">
        <v>64</v>
      </c>
      <c r="F113" s="253" t="s">
        <v>215</v>
      </c>
      <c r="G113" s="185" t="s">
        <v>96</v>
      </c>
      <c r="H113" s="39"/>
      <c r="I113" s="190">
        <f>IF($H$7="Period 1", VLOOKUP(E113&amp;G113&amp;$H$7,'Rebate Reference Table'!$E$5:$M$125,3,FALSE), VLOOKUP(E113&amp;G113&amp;$H$7,'Rebate Reference Table'!$F$5:$K$125,6,FALSE))</f>
        <v>15</v>
      </c>
      <c r="J113" s="191">
        <v>0.67</v>
      </c>
      <c r="K113" s="191">
        <v>1.5</v>
      </c>
      <c r="L113" s="189" t="s">
        <v>162</v>
      </c>
      <c r="M113" s="40"/>
      <c r="N113" s="193" t="str">
        <f>IFERROR((H113*320)/(M113*43.56),"")</f>
        <v/>
      </c>
      <c r="O113" s="195">
        <f t="shared" ref="O113:O115" si="36">H113*I113</f>
        <v>0</v>
      </c>
    </row>
    <row r="114" spans="1:15" ht="24" customHeight="1" x14ac:dyDescent="0.2">
      <c r="A114" s="149">
        <v>10361030</v>
      </c>
      <c r="B114" s="130" t="s">
        <v>24</v>
      </c>
      <c r="C114" s="150"/>
      <c r="D114" s="227"/>
      <c r="E114" s="221"/>
      <c r="F114" s="230"/>
      <c r="G114" s="185" t="s">
        <v>102</v>
      </c>
      <c r="H114" s="39"/>
      <c r="I114" s="190">
        <f>IF($H$7="Period 1", VLOOKUP(E113&amp;G114&amp;$H$7,'Rebate Reference Table'!$E$5:$M$125,3,FALSE), VLOOKUP(E113&amp;G114&amp;$H$7,'Rebate Reference Table'!$F$5:$K$125,6,FALSE))</f>
        <v>180</v>
      </c>
      <c r="J114" s="191">
        <v>0.67</v>
      </c>
      <c r="K114" s="191">
        <v>1.5</v>
      </c>
      <c r="L114" s="189" t="s">
        <v>162</v>
      </c>
      <c r="M114" s="40"/>
      <c r="N114" s="196" t="str">
        <f>IFERROR((H114*3840)/(M114*43.56),"")</f>
        <v/>
      </c>
      <c r="O114" s="195">
        <f t="shared" si="36"/>
        <v>0</v>
      </c>
    </row>
    <row r="115" spans="1:15" ht="24" customHeight="1" x14ac:dyDescent="0.2">
      <c r="A115" s="149"/>
      <c r="B115" s="130"/>
      <c r="C115" s="150"/>
      <c r="D115" s="204"/>
      <c r="E115" s="151" t="s">
        <v>259</v>
      </c>
      <c r="F115" s="205" t="s">
        <v>254</v>
      </c>
      <c r="G115" s="206" t="s">
        <v>105</v>
      </c>
      <c r="H115" s="39"/>
      <c r="I115" s="133">
        <f>IF($H$7="Period 1", VLOOKUP(E115&amp;G115&amp;$H$7,'Rebate Reference Table'!$E$5:$M$125,3,FALSE), VLOOKUP(E115&amp;G115&amp;$H$7,'Rebate Reference Table'!$F$5:$K$125,6,FALSE))</f>
        <v>18</v>
      </c>
      <c r="J115" s="140" t="s">
        <v>149</v>
      </c>
      <c r="K115" s="140" t="s">
        <v>149</v>
      </c>
      <c r="L115" s="134" t="s">
        <v>180</v>
      </c>
      <c r="M115" s="40"/>
      <c r="N115" s="148" t="str">
        <f>IFERROR(H115*16/M115,"")</f>
        <v/>
      </c>
      <c r="O115" s="141">
        <f t="shared" si="36"/>
        <v>0</v>
      </c>
    </row>
    <row r="117" spans="1:15" ht="14.25" x14ac:dyDescent="0.2">
      <c r="D117" s="162" t="s">
        <v>280</v>
      </c>
      <c r="J117" s="163"/>
      <c r="K117" s="163"/>
      <c r="L117" s="163"/>
    </row>
    <row r="118" spans="1:15" x14ac:dyDescent="0.2">
      <c r="D118" s="88"/>
      <c r="J118" s="163"/>
      <c r="K118" s="163"/>
      <c r="L118" s="163"/>
    </row>
    <row r="119" spans="1:15" ht="12.75" customHeight="1" x14ac:dyDescent="0.2">
      <c r="D119" s="162" t="s">
        <v>281</v>
      </c>
      <c r="E119" s="164"/>
      <c r="F119" s="165"/>
      <c r="G119" s="166"/>
      <c r="H119" s="167"/>
      <c r="I119" s="168"/>
      <c r="J119" s="169"/>
      <c r="K119" s="169"/>
      <c r="L119" s="169"/>
      <c r="M119" s="167"/>
      <c r="N119" s="170"/>
      <c r="O119" s="171"/>
    </row>
    <row r="120" spans="1:15" ht="12.75" customHeight="1" x14ac:dyDescent="0.2">
      <c r="D120" s="172" t="s">
        <v>282</v>
      </c>
      <c r="E120" s="164"/>
      <c r="F120" s="165"/>
      <c r="G120" s="166"/>
      <c r="H120" s="167"/>
      <c r="I120" s="168"/>
      <c r="J120" s="169"/>
      <c r="K120" s="169"/>
      <c r="L120" s="169"/>
      <c r="M120" s="167"/>
      <c r="N120" s="170"/>
      <c r="O120" s="171"/>
    </row>
    <row r="121" spans="1:15" ht="15" x14ac:dyDescent="0.2">
      <c r="D121" s="173"/>
      <c r="E121" s="164"/>
      <c r="F121" s="165"/>
      <c r="G121" s="166"/>
      <c r="H121" s="167"/>
      <c r="I121" s="168"/>
      <c r="J121" s="169"/>
      <c r="K121" s="169"/>
      <c r="L121" s="169"/>
      <c r="M121" s="167"/>
      <c r="N121" s="79"/>
      <c r="O121" s="80"/>
    </row>
    <row r="122" spans="1:15" ht="18" x14ac:dyDescent="0.25">
      <c r="D122" s="174" t="s">
        <v>155</v>
      </c>
    </row>
    <row r="123" spans="1:15" ht="14.25" x14ac:dyDescent="0.2">
      <c r="D123" s="172" t="s">
        <v>248</v>
      </c>
      <c r="G123" s="175"/>
    </row>
    <row r="124" spans="1:15" ht="14.25" x14ac:dyDescent="0.2">
      <c r="D124" s="172" t="s">
        <v>158</v>
      </c>
    </row>
    <row r="125" spans="1:15" x14ac:dyDescent="0.2">
      <c r="D125" s="271" t="s">
        <v>283</v>
      </c>
      <c r="E125" s="271"/>
      <c r="F125" s="271"/>
      <c r="G125" s="271"/>
    </row>
  </sheetData>
  <sheetProtection algorithmName="SHA-512" hashValue="tYTjXo3lqsUw6tUy1jhjoOsRnyA/av3Y/C58sj4T+bpDssF8XP7vSDsJRsipguiIEl0o8uhdhWt6LnQdJISJSw==" saltValue="Cwm7gwageQYEFU0ThHtKAw==" spinCount="100000" sheet="1" objects="1" scenarios="1"/>
  <mergeCells count="99">
    <mergeCell ref="E72:E73"/>
    <mergeCell ref="D72:D73"/>
    <mergeCell ref="D79:D80"/>
    <mergeCell ref="E79:E80"/>
    <mergeCell ref="F79:F80"/>
    <mergeCell ref="F72:F73"/>
    <mergeCell ref="F74:F77"/>
    <mergeCell ref="D50:D51"/>
    <mergeCell ref="E52:E53"/>
    <mergeCell ref="E54:E55"/>
    <mergeCell ref="E50:E51"/>
    <mergeCell ref="E56:E57"/>
    <mergeCell ref="D52:D53"/>
    <mergeCell ref="F64:F66"/>
    <mergeCell ref="F50:F51"/>
    <mergeCell ref="F54:F55"/>
    <mergeCell ref="F56:F57"/>
    <mergeCell ref="F52:F53"/>
    <mergeCell ref="E62:E63"/>
    <mergeCell ref="D62:D63"/>
    <mergeCell ref="F62:F63"/>
    <mergeCell ref="D56:D57"/>
    <mergeCell ref="E74:E77"/>
    <mergeCell ref="E58:E59"/>
    <mergeCell ref="F58:F59"/>
    <mergeCell ref="D74:D77"/>
    <mergeCell ref="E64:E66"/>
    <mergeCell ref="D64:D66"/>
    <mergeCell ref="F69:F70"/>
    <mergeCell ref="E69:E70"/>
    <mergeCell ref="D69:D70"/>
    <mergeCell ref="D67:D68"/>
    <mergeCell ref="E67:E68"/>
    <mergeCell ref="F67:F68"/>
    <mergeCell ref="D108:D110"/>
    <mergeCell ref="F108:F110"/>
    <mergeCell ref="E108:E110"/>
    <mergeCell ref="D99:D102"/>
    <mergeCell ref="D93:D96"/>
    <mergeCell ref="E105:E107"/>
    <mergeCell ref="F93:F96"/>
    <mergeCell ref="E97:E98"/>
    <mergeCell ref="D97:D98"/>
    <mergeCell ref="F97:F98"/>
    <mergeCell ref="D125:G125"/>
    <mergeCell ref="E113:E114"/>
    <mergeCell ref="D113:D114"/>
    <mergeCell ref="F113:F114"/>
    <mergeCell ref="E111:E112"/>
    <mergeCell ref="F111:F112"/>
    <mergeCell ref="D111:D112"/>
    <mergeCell ref="D103:D104"/>
    <mergeCell ref="D105:D107"/>
    <mergeCell ref="F105:F107"/>
    <mergeCell ref="F99:F102"/>
    <mergeCell ref="E103:E104"/>
    <mergeCell ref="F103:F104"/>
    <mergeCell ref="E99:E102"/>
    <mergeCell ref="D86:D88"/>
    <mergeCell ref="E82:E85"/>
    <mergeCell ref="F82:F85"/>
    <mergeCell ref="D82:D85"/>
    <mergeCell ref="E93:E96"/>
    <mergeCell ref="E86:E88"/>
    <mergeCell ref="E89:E92"/>
    <mergeCell ref="F86:F88"/>
    <mergeCell ref="D89:D92"/>
    <mergeCell ref="F89:F92"/>
    <mergeCell ref="D45:D48"/>
    <mergeCell ref="E45:E48"/>
    <mergeCell ref="F45:F48"/>
    <mergeCell ref="D40:D44"/>
    <mergeCell ref="E31:E32"/>
    <mergeCell ref="D31:D32"/>
    <mergeCell ref="F31:F32"/>
    <mergeCell ref="E36:E37"/>
    <mergeCell ref="D36:D37"/>
    <mergeCell ref="F36:F37"/>
    <mergeCell ref="K23:K27"/>
    <mergeCell ref="E23:E27"/>
    <mergeCell ref="D23:D27"/>
    <mergeCell ref="F23:F27"/>
    <mergeCell ref="E40:E44"/>
    <mergeCell ref="F40:F44"/>
    <mergeCell ref="E29:E30"/>
    <mergeCell ref="F29:F30"/>
    <mergeCell ref="D29:D30"/>
    <mergeCell ref="H15:J15"/>
    <mergeCell ref="H11:J11"/>
    <mergeCell ref="F1:M1"/>
    <mergeCell ref="K20:K22"/>
    <mergeCell ref="E20:E22"/>
    <mergeCell ref="M2:O2"/>
    <mergeCell ref="D3:E3"/>
    <mergeCell ref="M3:O3"/>
    <mergeCell ref="D20:D22"/>
    <mergeCell ref="F20:F22"/>
    <mergeCell ref="H16:J16"/>
    <mergeCell ref="H12:J14"/>
  </mergeCells>
  <phoneticPr fontId="7" type="noConversion"/>
  <dataValidations count="19">
    <dataValidation type="whole" operator="greaterThanOrEqual" allowBlank="1" showInputMessage="1" showErrorMessage="1" error="Must be 32 or more units" prompt="32 or more" sqref="H21" xr:uid="{410C2827-E483-4E77-91D1-11485466A766}">
      <formula1>32</formula1>
    </dataValidation>
    <dataValidation type="whole" operator="greaterThanOrEqual" allowBlank="1" showInputMessage="1" showErrorMessage="1" error="Must be 6 or more units" prompt="6 or more" sqref="H26 H30 H100:H101 H46:H47 H76" xr:uid="{44760C71-73D1-447E-A209-283E31C7262B}">
      <formula1>6</formula1>
    </dataValidation>
    <dataValidation type="whole" operator="greaterThanOrEqual" allowBlank="1" showInputMessage="1" showErrorMessage="1" error="Must be 8 or more units" prompt="8 or more" sqref="H68 H110 H41 H53 H55 H59 H27 H37" xr:uid="{F32B8169-326D-4F6D-9E1C-F26EFCC95272}">
      <formula1>8</formula1>
    </dataValidation>
    <dataValidation type="whole" operator="greaterThanOrEqual" allowBlank="1" showInputMessage="1" showErrorMessage="1" error="Must be 12 or more units" prompt="12 or more" sqref="H90 H87 H83 H94 H73" xr:uid="{D75CC7DB-CA7D-4080-A224-1AE5439C3104}">
      <formula1>12</formula1>
    </dataValidation>
    <dataValidation type="whole" operator="greaterThanOrEqual" allowBlank="1" showInputMessage="1" showErrorMessage="1" error="Must be 4 or more units" prompt="4 or more" sqref="H107 H80 H43:H44 H66 H24" xr:uid="{2F820F4A-B0F0-43DF-9B4B-432B3A538950}">
      <formula1>4</formula1>
    </dataValidation>
    <dataValidation type="whole" operator="greaterThanOrEqual" allowBlank="1" showInputMessage="1" showErrorMessage="1" error="4 or more units" prompt="4 or more" sqref="H112" xr:uid="{E4DE1A52-6FCE-47D6-9B04-CC89B2A3EC0D}">
      <formula1>4</formula1>
    </dataValidation>
    <dataValidation type="whole" allowBlank="1" showInputMessage="1" showErrorMessage="1" error="Must be 1 - 31 units" prompt="31 or less" sqref="H20" xr:uid="{E9BE7D8A-2407-4328-99A3-8AD07A06640C}">
      <formula1>1</formula1>
      <formula2>31</formula2>
    </dataValidation>
    <dataValidation type="whole" allowBlank="1" showInputMessage="1" showErrorMessage="1" error="Must be 1 - 5 units" prompt="5 or less" sqref="H45 H99 H75" xr:uid="{2F24DEC7-8BFB-48A3-9D04-315C1495CEC0}">
      <formula1>1</formula1>
      <formula2>5</formula2>
    </dataValidation>
    <dataValidation type="whole" operator="lessThanOrEqual" allowBlank="1" showInputMessage="1" showErrorMessage="1" error="Must be 1 - 3 units" prompt="3 or less" sqref="H111 H106 H79 H42 H65" xr:uid="{5E73B2B2-F433-4900-B71E-82BC7C490E67}">
      <formula1>3</formula1>
    </dataValidation>
    <dataValidation type="whole" operator="lessThanOrEqual" allowBlank="1" showInputMessage="1" showErrorMessage="1" error="Must be 1 - 7 units" prompt="less than 7" sqref="H36" xr:uid="{2B67E331-C827-41ED-8DE7-D46F7FBC9828}">
      <formula1>7</formula1>
    </dataValidation>
    <dataValidation type="whole" allowBlank="1" showInputMessage="1" showErrorMessage="1" error="Must be 1 - 11 units" prompt="11 or less" sqref="H89" xr:uid="{545C8662-38C2-4610-841D-25085234EE01}">
      <formula1>1</formula1>
      <formula2>5</formula2>
    </dataValidation>
    <dataValidation type="whole" operator="lessThanOrEqual" allowBlank="1" showInputMessage="1" showErrorMessage="1" error="Must be 1 - 7 units" prompt="7 or less" sqref="H52 H54 H109 H58 H67" xr:uid="{8E431480-2F13-449D-A15C-4CFCFA83012C}">
      <formula1>7</formula1>
    </dataValidation>
    <dataValidation type="list" allowBlank="1" showInputMessage="1" showErrorMessage="1" sqref="H7" xr:uid="{87243878-0080-4F23-99B0-63AF3AEDCDB9}">
      <formula1>$A$5:$A$6</formula1>
    </dataValidation>
    <dataValidation type="whole" operator="lessThanOrEqual" allowBlank="1" showInputMessage="1" showErrorMessage="1" error="Must be 1 - 11 units" prompt="11 or less" sqref="H93 H86 H72 H82" xr:uid="{C1B45935-013E-4841-95C8-BEBDEFF7A9CE}">
      <formula1>11</formula1>
    </dataValidation>
    <dataValidation type="whole" operator="lessThanOrEqual" allowBlank="1" showInputMessage="1" showErrorMessage="1" error="Must be 1 - 5 units" prompt="less than 5" sqref="H25" xr:uid="{707313F5-3DF8-4EA0-8F26-ACE48C757F8E}">
      <formula1>5</formula1>
    </dataValidation>
    <dataValidation type="whole" operator="lessThanOrEqual" allowBlank="1" showInputMessage="1" showErrorMessage="1" error="Must be 1 - 49 units" prompt="49 or less" sqref="H50 H56" xr:uid="{60A23652-B091-4BA3-A9C2-8505BCCE781D}">
      <formula1>49</formula1>
    </dataValidation>
    <dataValidation type="whole" operator="greaterThanOrEqual" allowBlank="1" showInputMessage="1" showErrorMessage="1" error="Must be 50 or more units" prompt="50 or more" sqref="H51 H57" xr:uid="{ED619A14-02C9-4F17-8E9E-3F7C8F9F8BFF}">
      <formula1>50</formula1>
    </dataValidation>
    <dataValidation type="whole" operator="greaterThanOrEqual" allowBlank="1" showInputMessage="1" showErrorMessage="1" error="Must be 2 or more units" prompt="2 or more" sqref="H48" xr:uid="{4E09F19B-FB6B-4A03-A61F-7E04A338579A}">
      <formula1>2</formula1>
    </dataValidation>
    <dataValidation type="whole" operator="greaterThanOrEqual" allowBlank="1" showInputMessage="1" showErrorMessage="1" error="Must be 48 or more units" prompt="48 or more" sqref="H22" xr:uid="{1FC57901-D4BC-4395-9DD2-6741B74AB6B0}">
      <formula1>48</formula1>
    </dataValidation>
  </dataValidations>
  <hyperlinks>
    <hyperlink ref="F3" r:id="rId1" xr:uid="{8466AE34-94F8-440B-8C53-CCCF3CC9F443}"/>
  </hyperlinks>
  <pageMargins left="0.45" right="0.45" top="0.5" bottom="0.5" header="0.3" footer="0.3"/>
  <pageSetup scale="34"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F7370-EB2A-4097-BE45-186C7B1B6EC8}">
  <sheetPr codeName="Sheet2"/>
  <dimension ref="A1:M131"/>
  <sheetViews>
    <sheetView topLeftCell="E1" zoomScale="85" zoomScaleNormal="85" workbookViewId="0">
      <pane ySplit="3" topLeftCell="A67" activePane="bottomLeft" state="frozen"/>
      <selection pane="bottomLeft" activeCell="A95" sqref="A95:M95"/>
    </sheetView>
  </sheetViews>
  <sheetFormatPr defaultRowHeight="12.75" x14ac:dyDescent="0.2"/>
  <cols>
    <col min="1" max="1" width="14.5" customWidth="1"/>
    <col min="2" max="2" width="42.875" customWidth="1"/>
    <col min="3" max="3" width="30.25" style="17" customWidth="1"/>
    <col min="4" max="4" width="47.25" style="17" customWidth="1"/>
    <col min="5" max="5" width="54" style="17" customWidth="1"/>
    <col min="6" max="6" width="74.625" style="17" customWidth="1"/>
    <col min="7" max="7" width="17.5" style="11" customWidth="1"/>
    <col min="8" max="8" width="27" style="11" customWidth="1"/>
    <col min="9" max="9" width="23.5" style="9" customWidth="1"/>
    <col min="10" max="10" width="15.875" style="5" customWidth="1"/>
    <col min="11" max="11" width="17.875" style="11" customWidth="1"/>
    <col min="12" max="12" width="11.625" customWidth="1"/>
    <col min="13" max="13" width="17" customWidth="1"/>
  </cols>
  <sheetData>
    <row r="1" spans="1:13" ht="24.75" customHeight="1" x14ac:dyDescent="0.25">
      <c r="A1" s="45" t="s">
        <v>125</v>
      </c>
      <c r="B1" s="26"/>
      <c r="C1" s="27"/>
      <c r="E1" s="54">
        <v>1</v>
      </c>
      <c r="F1" s="54">
        <v>2</v>
      </c>
      <c r="G1" s="54">
        <v>3</v>
      </c>
      <c r="H1" s="55">
        <v>4</v>
      </c>
      <c r="I1" s="56">
        <v>5</v>
      </c>
      <c r="J1" s="54">
        <v>6</v>
      </c>
      <c r="K1" s="54">
        <v>7</v>
      </c>
      <c r="L1" s="54">
        <v>8</v>
      </c>
      <c r="M1" s="54">
        <v>9</v>
      </c>
    </row>
    <row r="2" spans="1:13" ht="18" x14ac:dyDescent="0.25">
      <c r="A2" s="45" t="s">
        <v>126</v>
      </c>
      <c r="I2" s="179" t="s">
        <v>292</v>
      </c>
      <c r="K2" s="179" t="s">
        <v>291</v>
      </c>
    </row>
    <row r="3" spans="1:13" s="2" customFormat="1" x14ac:dyDescent="0.2">
      <c r="A3" s="65" t="s">
        <v>57</v>
      </c>
      <c r="B3" s="66" t="s">
        <v>1</v>
      </c>
      <c r="C3" s="66" t="s">
        <v>94</v>
      </c>
      <c r="D3" s="66" t="s">
        <v>58</v>
      </c>
      <c r="E3" s="66" t="s">
        <v>192</v>
      </c>
      <c r="F3" s="66" t="s">
        <v>193</v>
      </c>
      <c r="G3" s="67" t="s">
        <v>98</v>
      </c>
      <c r="H3" s="67" t="s">
        <v>99</v>
      </c>
      <c r="I3" s="67" t="s">
        <v>197</v>
      </c>
      <c r="J3" s="67" t="s">
        <v>2</v>
      </c>
      <c r="K3" s="67" t="s">
        <v>100</v>
      </c>
      <c r="L3" s="68" t="s">
        <v>95</v>
      </c>
      <c r="M3" s="69" t="s">
        <v>194</v>
      </c>
    </row>
    <row r="4" spans="1:13" s="2" customFormat="1" x14ac:dyDescent="0.2">
      <c r="A4" s="57"/>
      <c r="B4" s="1" t="s">
        <v>0</v>
      </c>
      <c r="C4" s="18" t="s">
        <v>0</v>
      </c>
      <c r="D4" s="22"/>
      <c r="E4" s="22"/>
      <c r="F4" s="22"/>
      <c r="G4" s="15"/>
      <c r="H4" s="15"/>
      <c r="I4" s="16"/>
      <c r="J4" s="15"/>
      <c r="K4" s="15"/>
      <c r="L4" s="16"/>
      <c r="M4" s="61"/>
    </row>
    <row r="5" spans="1:13" x14ac:dyDescent="0.2">
      <c r="A5" s="58">
        <v>10010225</v>
      </c>
      <c r="B5" s="32" t="s">
        <v>3</v>
      </c>
      <c r="C5" s="33" t="s">
        <v>187</v>
      </c>
      <c r="D5" s="33" t="s">
        <v>96</v>
      </c>
      <c r="E5" s="33" t="str">
        <f t="shared" ref="E5:E10" si="0">CONCATENATE(C5,D5,$A$1)</f>
        <v>4-SPEED XT2.5 gal. bottlePeriod 1</v>
      </c>
      <c r="F5" s="33" t="str">
        <f t="shared" ref="F5:F10" si="1">CONCATENATE(C5,D5,$A$2)</f>
        <v>4-SPEED XT2.5 gal. bottlePeriod 2</v>
      </c>
      <c r="G5" s="34">
        <v>15</v>
      </c>
      <c r="H5" s="34"/>
      <c r="I5" s="35">
        <v>0</v>
      </c>
      <c r="J5" s="36">
        <f t="shared" ref="J5:J48" si="2">G5*I5</f>
        <v>0</v>
      </c>
      <c r="K5" s="34">
        <v>5</v>
      </c>
      <c r="L5" s="35">
        <v>0</v>
      </c>
      <c r="M5" s="62">
        <f t="shared" ref="M5:M48" si="3">K5*L5</f>
        <v>0</v>
      </c>
    </row>
    <row r="6" spans="1:13" x14ac:dyDescent="0.2">
      <c r="A6" s="58">
        <v>10010225</v>
      </c>
      <c r="B6" s="32" t="s">
        <v>3</v>
      </c>
      <c r="C6" s="33" t="s">
        <v>187</v>
      </c>
      <c r="D6" s="33" t="s">
        <v>189</v>
      </c>
      <c r="E6" s="33" t="str">
        <f t="shared" si="0"/>
        <v>4-SPEED XT2.5 gal. bottle Volume 12+Period 1</v>
      </c>
      <c r="F6" s="33" t="str">
        <f t="shared" si="1"/>
        <v>4-SPEED XT2.5 gal. bottle Volume 12+Period 2</v>
      </c>
      <c r="G6" s="34"/>
      <c r="H6" s="34">
        <v>20</v>
      </c>
      <c r="I6" s="35">
        <v>0</v>
      </c>
      <c r="J6" s="36">
        <f t="shared" ref="J6" si="4">G6*I6</f>
        <v>0</v>
      </c>
      <c r="K6" s="34">
        <v>5</v>
      </c>
      <c r="L6" s="35">
        <v>0</v>
      </c>
      <c r="M6" s="62">
        <f t="shared" ref="M6" si="5">K6*L6</f>
        <v>0</v>
      </c>
    </row>
    <row r="7" spans="1:13" x14ac:dyDescent="0.2">
      <c r="A7" s="58">
        <v>10850464</v>
      </c>
      <c r="B7" s="32" t="s">
        <v>275</v>
      </c>
      <c r="C7" s="33" t="s">
        <v>274</v>
      </c>
      <c r="D7" s="33" t="s">
        <v>106</v>
      </c>
      <c r="E7" s="33" t="str">
        <f t="shared" si="0"/>
        <v>ALLSTAR64 fl oz. bottlePeriod 1</v>
      </c>
      <c r="F7" s="33" t="str">
        <f t="shared" si="1"/>
        <v>ALLSTAR64 fl oz. bottlePeriod 2</v>
      </c>
      <c r="G7" s="34">
        <v>7</v>
      </c>
      <c r="H7" s="177"/>
      <c r="I7" s="8"/>
      <c r="J7" s="4">
        <f>G7*I7</f>
        <v>0</v>
      </c>
      <c r="K7" s="34">
        <v>5</v>
      </c>
      <c r="L7" s="8"/>
      <c r="M7" s="63">
        <f>K7*L7</f>
        <v>0</v>
      </c>
    </row>
    <row r="8" spans="1:13" x14ac:dyDescent="0.2">
      <c r="A8" s="58">
        <v>10850225</v>
      </c>
      <c r="B8" s="32" t="s">
        <v>276</v>
      </c>
      <c r="C8" s="33" t="s">
        <v>274</v>
      </c>
      <c r="D8" s="33" t="s">
        <v>96</v>
      </c>
      <c r="E8" s="33" t="str">
        <f t="shared" si="0"/>
        <v>ALLSTAR2.5 gal. bottlePeriod 1</v>
      </c>
      <c r="F8" s="33" t="str">
        <f t="shared" si="1"/>
        <v>ALLSTAR2.5 gal. bottlePeriod 2</v>
      </c>
      <c r="G8" s="34">
        <v>30</v>
      </c>
      <c r="H8" s="177"/>
      <c r="I8" s="8"/>
      <c r="J8" s="4">
        <f>G8*I8</f>
        <v>0</v>
      </c>
      <c r="K8" s="34">
        <v>20</v>
      </c>
      <c r="L8" s="8"/>
      <c r="M8" s="63">
        <f>K8*L8</f>
        <v>0</v>
      </c>
    </row>
    <row r="9" spans="1:13" x14ac:dyDescent="0.2">
      <c r="A9" s="58">
        <v>10850225</v>
      </c>
      <c r="B9" s="32" t="s">
        <v>276</v>
      </c>
      <c r="C9" s="33" t="s">
        <v>274</v>
      </c>
      <c r="D9" s="33" t="s">
        <v>198</v>
      </c>
      <c r="E9" s="33" t="str">
        <f t="shared" si="0"/>
        <v>ALLSTAR2.5 gal. bottle Volume 6+Period 1</v>
      </c>
      <c r="F9" s="33" t="str">
        <f t="shared" si="1"/>
        <v>ALLSTAR2.5 gal. bottle Volume 6+Period 2</v>
      </c>
      <c r="G9" s="34"/>
      <c r="H9" s="34">
        <v>40</v>
      </c>
      <c r="I9" s="8"/>
      <c r="J9" s="4">
        <f>G9*I9</f>
        <v>0</v>
      </c>
      <c r="K9" s="34">
        <v>20</v>
      </c>
      <c r="L9" s="8"/>
      <c r="M9" s="63">
        <f>K9*L9</f>
        <v>0</v>
      </c>
    </row>
    <row r="10" spans="1:13" x14ac:dyDescent="0.2">
      <c r="A10" s="58">
        <v>10850030</v>
      </c>
      <c r="B10" s="32" t="s">
        <v>277</v>
      </c>
      <c r="C10" s="33" t="s">
        <v>274</v>
      </c>
      <c r="D10" s="33" t="s">
        <v>102</v>
      </c>
      <c r="E10" s="33" t="str">
        <f t="shared" si="0"/>
        <v>ALLSTAR30 gal. drumPeriod 1</v>
      </c>
      <c r="F10" s="33" t="str">
        <f t="shared" si="1"/>
        <v>ALLSTAR30 gal. drumPeriod 2</v>
      </c>
      <c r="G10" s="34">
        <v>480</v>
      </c>
      <c r="H10" s="177"/>
      <c r="I10" s="8"/>
      <c r="J10" s="4">
        <f>G10*I10</f>
        <v>0</v>
      </c>
      <c r="K10" s="34">
        <v>240</v>
      </c>
      <c r="L10" s="8"/>
      <c r="M10" s="63">
        <f>K10*L10</f>
        <v>0</v>
      </c>
    </row>
    <row r="11" spans="1:13" x14ac:dyDescent="0.2">
      <c r="A11" s="59">
        <v>10583050</v>
      </c>
      <c r="B11" s="3" t="s">
        <v>4</v>
      </c>
      <c r="C11" s="19" t="s">
        <v>77</v>
      </c>
      <c r="D11" s="19" t="s">
        <v>97</v>
      </c>
      <c r="E11" s="19" t="str">
        <f t="shared" ref="E11:E125" si="6">CONCATENATE(C11,D11,$A$1)</f>
        <v>BROADSTAR50 lb. bagPeriod 1</v>
      </c>
      <c r="F11" s="19" t="str">
        <f t="shared" ref="F11:F125" si="7">CONCATENATE(C11,D11,$A$2)</f>
        <v>BROADSTAR50 lb. bagPeriod 2</v>
      </c>
      <c r="G11" s="23">
        <v>15</v>
      </c>
      <c r="H11" s="8">
        <v>0</v>
      </c>
      <c r="I11" s="8">
        <v>0</v>
      </c>
      <c r="J11" s="4">
        <f t="shared" si="2"/>
        <v>0</v>
      </c>
      <c r="K11" s="23">
        <v>3</v>
      </c>
      <c r="L11" s="8">
        <v>0</v>
      </c>
      <c r="M11" s="63">
        <f t="shared" si="3"/>
        <v>0</v>
      </c>
    </row>
    <row r="12" spans="1:13" x14ac:dyDescent="0.2">
      <c r="A12" s="59">
        <v>10701401</v>
      </c>
      <c r="B12" s="3" t="s">
        <v>5</v>
      </c>
      <c r="C12" s="19" t="s">
        <v>91</v>
      </c>
      <c r="D12" s="19" t="s">
        <v>120</v>
      </c>
      <c r="E12" s="19" t="str">
        <f t="shared" si="6"/>
        <v>CELERO1 lb. bottlePeriod 1</v>
      </c>
      <c r="F12" s="19" t="str">
        <f t="shared" si="7"/>
        <v>CELERO1 lb. bottlePeriod 2</v>
      </c>
      <c r="G12" s="23">
        <v>35</v>
      </c>
      <c r="H12" s="8">
        <v>0</v>
      </c>
      <c r="I12" s="8">
        <v>0</v>
      </c>
      <c r="J12" s="4">
        <f t="shared" si="2"/>
        <v>0</v>
      </c>
      <c r="K12" s="23">
        <v>4</v>
      </c>
      <c r="L12" s="8">
        <v>0</v>
      </c>
      <c r="M12" s="63">
        <f t="shared" si="3"/>
        <v>0</v>
      </c>
    </row>
    <row r="13" spans="1:13" x14ac:dyDescent="0.2">
      <c r="A13" s="59">
        <v>10701401</v>
      </c>
      <c r="B13" s="3" t="s">
        <v>5</v>
      </c>
      <c r="C13" s="19" t="s">
        <v>91</v>
      </c>
      <c r="D13" s="19" t="s">
        <v>190</v>
      </c>
      <c r="E13" s="19" t="str">
        <f t="shared" ref="E13" si="8">CONCATENATE(C13,D13,$A$1)</f>
        <v>CELERO1 lb. bottle Volume 4+Period 1</v>
      </c>
      <c r="F13" s="19" t="str">
        <f t="shared" ref="F13" si="9">CONCATENATE(C13,D13,$A$2)</f>
        <v>CELERO1 lb. bottle Volume 4+Period 2</v>
      </c>
      <c r="G13" s="23"/>
      <c r="H13" s="77">
        <v>55</v>
      </c>
      <c r="I13" s="8">
        <v>0</v>
      </c>
      <c r="J13" s="4">
        <f t="shared" ref="J13" si="10">G13*I13</f>
        <v>0</v>
      </c>
      <c r="K13" s="23">
        <v>4</v>
      </c>
      <c r="L13" s="8">
        <v>0</v>
      </c>
      <c r="M13" s="63">
        <f t="shared" ref="M13" si="11">K13*L13</f>
        <v>0</v>
      </c>
    </row>
    <row r="14" spans="1:13" x14ac:dyDescent="0.2">
      <c r="A14" s="59">
        <v>10699170</v>
      </c>
      <c r="B14" s="3" t="s">
        <v>6</v>
      </c>
      <c r="C14" s="19" t="s">
        <v>90</v>
      </c>
      <c r="D14" s="19" t="s">
        <v>121</v>
      </c>
      <c r="E14" s="19" t="str">
        <f t="shared" si="6"/>
        <v>CERTAINTY1.25 wt oz. bottlePeriod 1</v>
      </c>
      <c r="F14" s="19" t="str">
        <f t="shared" si="7"/>
        <v>CERTAINTY1.25 wt oz. bottlePeriod 2</v>
      </c>
      <c r="G14" s="23">
        <v>30</v>
      </c>
      <c r="H14" s="8">
        <v>0</v>
      </c>
      <c r="I14" s="8">
        <v>0</v>
      </c>
      <c r="J14" s="4">
        <f t="shared" si="2"/>
        <v>0</v>
      </c>
      <c r="K14" s="23">
        <v>2</v>
      </c>
      <c r="L14" s="8">
        <v>0</v>
      </c>
      <c r="M14" s="63">
        <f t="shared" si="3"/>
        <v>0</v>
      </c>
    </row>
    <row r="15" spans="1:13" x14ac:dyDescent="0.2">
      <c r="A15" s="59">
        <v>10555225</v>
      </c>
      <c r="B15" s="3" t="s">
        <v>7</v>
      </c>
      <c r="C15" s="19" t="s">
        <v>72</v>
      </c>
      <c r="D15" s="19" t="s">
        <v>96</v>
      </c>
      <c r="E15" s="19" t="str">
        <f t="shared" si="6"/>
        <v>CHANGE UP2.5 gal. bottlePeriod 1</v>
      </c>
      <c r="F15" s="19" t="str">
        <f t="shared" si="7"/>
        <v>CHANGE UP2.5 gal. bottlePeriod 2</v>
      </c>
      <c r="G15" s="23">
        <v>15</v>
      </c>
      <c r="H15" s="8">
        <v>0</v>
      </c>
      <c r="I15" s="8">
        <v>0</v>
      </c>
      <c r="J15" s="4">
        <f t="shared" si="2"/>
        <v>0</v>
      </c>
      <c r="K15" s="23">
        <v>5</v>
      </c>
      <c r="L15" s="8">
        <v>0</v>
      </c>
      <c r="M15" s="63">
        <f t="shared" si="3"/>
        <v>0</v>
      </c>
    </row>
    <row r="16" spans="1:13" x14ac:dyDescent="0.2">
      <c r="A16" s="59">
        <v>10555225</v>
      </c>
      <c r="B16" s="3" t="s">
        <v>7</v>
      </c>
      <c r="C16" s="19" t="s">
        <v>72</v>
      </c>
      <c r="D16" s="19" t="s">
        <v>189</v>
      </c>
      <c r="E16" s="19" t="str">
        <f t="shared" ref="E16" si="12">CONCATENATE(C16,D16,$A$1)</f>
        <v>CHANGE UP2.5 gal. bottle Volume 12+Period 1</v>
      </c>
      <c r="F16" s="19" t="str">
        <f t="shared" ref="F16" si="13">CONCATENATE(C16,D16,$A$2)</f>
        <v>CHANGE UP2.5 gal. bottle Volume 12+Period 2</v>
      </c>
      <c r="G16" s="23"/>
      <c r="H16" s="77">
        <v>20</v>
      </c>
      <c r="I16" s="8">
        <v>0</v>
      </c>
      <c r="J16" s="4">
        <f t="shared" ref="J16" si="14">G16*I16</f>
        <v>0</v>
      </c>
      <c r="K16" s="23">
        <v>5</v>
      </c>
      <c r="L16" s="8">
        <v>0</v>
      </c>
      <c r="M16" s="63">
        <f t="shared" ref="M16" si="15">K16*L16</f>
        <v>0</v>
      </c>
    </row>
    <row r="17" spans="1:13" x14ac:dyDescent="0.2">
      <c r="A17" s="59">
        <v>10555030</v>
      </c>
      <c r="B17" s="3" t="s">
        <v>8</v>
      </c>
      <c r="C17" s="19" t="s">
        <v>72</v>
      </c>
      <c r="D17" s="19" t="s">
        <v>102</v>
      </c>
      <c r="E17" s="19" t="str">
        <f t="shared" si="6"/>
        <v>CHANGE UP30 gal. drumPeriod 1</v>
      </c>
      <c r="F17" s="19" t="str">
        <f t="shared" si="7"/>
        <v>CHANGE UP30 gal. drumPeriod 2</v>
      </c>
      <c r="G17" s="23">
        <v>240</v>
      </c>
      <c r="H17" s="8">
        <v>0</v>
      </c>
      <c r="I17" s="8">
        <v>0</v>
      </c>
      <c r="J17" s="4">
        <f t="shared" si="2"/>
        <v>0</v>
      </c>
      <c r="K17" s="23">
        <v>60</v>
      </c>
      <c r="L17" s="8">
        <v>0</v>
      </c>
      <c r="M17" s="63">
        <f t="shared" si="3"/>
        <v>0</v>
      </c>
    </row>
    <row r="18" spans="1:13" x14ac:dyDescent="0.2">
      <c r="A18" s="59">
        <v>10555250</v>
      </c>
      <c r="B18" s="25" t="s">
        <v>119</v>
      </c>
      <c r="C18" s="19" t="s">
        <v>72</v>
      </c>
      <c r="D18" s="19" t="s">
        <v>103</v>
      </c>
      <c r="E18" s="19" t="str">
        <f t="shared" si="6"/>
        <v>CHANGE UP250 gal. totePeriod 1</v>
      </c>
      <c r="F18" s="19" t="str">
        <f t="shared" si="7"/>
        <v>CHANGE UP250 gal. totePeriod 2</v>
      </c>
      <c r="G18" s="23">
        <v>2000</v>
      </c>
      <c r="H18" s="8">
        <v>0</v>
      </c>
      <c r="I18" s="8">
        <v>0</v>
      </c>
      <c r="J18" s="4">
        <f t="shared" si="2"/>
        <v>0</v>
      </c>
      <c r="K18" s="23">
        <v>500</v>
      </c>
      <c r="L18" s="8">
        <v>0</v>
      </c>
      <c r="M18" s="63">
        <f t="shared" si="3"/>
        <v>0</v>
      </c>
    </row>
    <row r="19" spans="1:13" x14ac:dyDescent="0.2">
      <c r="A19" s="58">
        <v>10070225</v>
      </c>
      <c r="B19" s="32" t="s">
        <v>9</v>
      </c>
      <c r="C19" s="33" t="s">
        <v>59</v>
      </c>
      <c r="D19" s="33" t="s">
        <v>96</v>
      </c>
      <c r="E19" s="33" t="str">
        <f t="shared" si="6"/>
        <v>COOL POWER2.5 gal. bottlePeriod 1</v>
      </c>
      <c r="F19" s="33" t="str">
        <f t="shared" si="7"/>
        <v>COOL POWER2.5 gal. bottlePeriod 2</v>
      </c>
      <c r="G19" s="34">
        <v>15</v>
      </c>
      <c r="H19" s="34"/>
      <c r="I19" s="35">
        <v>0</v>
      </c>
      <c r="J19" s="36">
        <f t="shared" si="2"/>
        <v>0</v>
      </c>
      <c r="K19" s="34">
        <v>5</v>
      </c>
      <c r="L19" s="35">
        <v>0</v>
      </c>
      <c r="M19" s="62">
        <f t="shared" si="3"/>
        <v>0</v>
      </c>
    </row>
    <row r="20" spans="1:13" x14ac:dyDescent="0.2">
      <c r="A20" s="58">
        <v>10070225</v>
      </c>
      <c r="B20" s="32" t="s">
        <v>9</v>
      </c>
      <c r="C20" s="33" t="s">
        <v>59</v>
      </c>
      <c r="D20" s="33" t="s">
        <v>189</v>
      </c>
      <c r="E20" s="33" t="str">
        <f t="shared" ref="E20" si="16">CONCATENATE(C20,D20,$A$1)</f>
        <v>COOL POWER2.5 gal. bottle Volume 12+Period 1</v>
      </c>
      <c r="F20" s="33" t="str">
        <f t="shared" ref="F20" si="17">CONCATENATE(C20,D20,$A$2)</f>
        <v>COOL POWER2.5 gal. bottle Volume 12+Period 2</v>
      </c>
      <c r="G20" s="34"/>
      <c r="H20" s="34">
        <v>20</v>
      </c>
      <c r="I20" s="35">
        <v>0</v>
      </c>
      <c r="J20" s="36">
        <f t="shared" ref="J20" si="18">G20*I20</f>
        <v>0</v>
      </c>
      <c r="K20" s="34">
        <v>5</v>
      </c>
      <c r="L20" s="35">
        <v>0</v>
      </c>
      <c r="M20" s="62">
        <f t="shared" ref="M20" si="19">K20*L20</f>
        <v>0</v>
      </c>
    </row>
    <row r="21" spans="1:13" x14ac:dyDescent="0.2">
      <c r="A21" s="59">
        <v>10070030</v>
      </c>
      <c r="B21" s="3" t="s">
        <v>10</v>
      </c>
      <c r="C21" s="19" t="s">
        <v>59</v>
      </c>
      <c r="D21" s="19" t="s">
        <v>102</v>
      </c>
      <c r="E21" s="19" t="str">
        <f t="shared" si="6"/>
        <v>COOL POWER30 gal. drumPeriod 1</v>
      </c>
      <c r="F21" s="19" t="str">
        <f t="shared" si="7"/>
        <v>COOL POWER30 gal. drumPeriod 2</v>
      </c>
      <c r="G21" s="23">
        <v>240</v>
      </c>
      <c r="H21" s="8">
        <v>0</v>
      </c>
      <c r="I21" s="8"/>
      <c r="J21" s="4">
        <f t="shared" si="2"/>
        <v>0</v>
      </c>
      <c r="K21" s="23">
        <v>60</v>
      </c>
      <c r="L21" s="8">
        <v>0</v>
      </c>
      <c r="M21" s="63">
        <f t="shared" si="3"/>
        <v>0</v>
      </c>
    </row>
    <row r="22" spans="1:13" x14ac:dyDescent="0.2">
      <c r="A22" s="58">
        <v>10111225</v>
      </c>
      <c r="B22" s="32" t="s">
        <v>11</v>
      </c>
      <c r="C22" s="33" t="s">
        <v>60</v>
      </c>
      <c r="D22" s="33" t="s">
        <v>96</v>
      </c>
      <c r="E22" s="33" t="str">
        <f t="shared" si="6"/>
        <v>ESCALADE 22.5 gal. bottlePeriod 1</v>
      </c>
      <c r="F22" s="33" t="str">
        <f t="shared" si="7"/>
        <v>ESCALADE 22.5 gal. bottlePeriod 2</v>
      </c>
      <c r="G22" s="34">
        <v>15</v>
      </c>
      <c r="H22" s="34"/>
      <c r="I22" s="35">
        <v>0</v>
      </c>
      <c r="J22" s="36">
        <f t="shared" si="2"/>
        <v>0</v>
      </c>
      <c r="K22" s="34">
        <v>5</v>
      </c>
      <c r="L22" s="35">
        <v>0</v>
      </c>
      <c r="M22" s="62">
        <f t="shared" si="3"/>
        <v>0</v>
      </c>
    </row>
    <row r="23" spans="1:13" x14ac:dyDescent="0.2">
      <c r="A23" s="58">
        <v>10111225</v>
      </c>
      <c r="B23" s="32" t="s">
        <v>11</v>
      </c>
      <c r="C23" s="33" t="s">
        <v>60</v>
      </c>
      <c r="D23" s="33" t="s">
        <v>189</v>
      </c>
      <c r="E23" s="33" t="str">
        <f t="shared" ref="E23" si="20">CONCATENATE(C23,D23,$A$1)</f>
        <v>ESCALADE 22.5 gal. bottle Volume 12+Period 1</v>
      </c>
      <c r="F23" s="33" t="str">
        <f t="shared" ref="F23" si="21">CONCATENATE(C23,D23,$A$2)</f>
        <v>ESCALADE 22.5 gal. bottle Volume 12+Period 2</v>
      </c>
      <c r="G23" s="34"/>
      <c r="H23" s="34">
        <v>20</v>
      </c>
      <c r="I23" s="35">
        <v>0</v>
      </c>
      <c r="J23" s="36">
        <f t="shared" ref="J23" si="22">G23*I23</f>
        <v>0</v>
      </c>
      <c r="K23" s="34">
        <v>5</v>
      </c>
      <c r="L23" s="35">
        <v>0</v>
      </c>
      <c r="M23" s="62">
        <f t="shared" ref="M23" si="23">K23*L23</f>
        <v>0</v>
      </c>
    </row>
    <row r="24" spans="1:13" x14ac:dyDescent="0.2">
      <c r="A24" s="59">
        <v>10111030</v>
      </c>
      <c r="B24" s="3" t="s">
        <v>12</v>
      </c>
      <c r="C24" s="19" t="s">
        <v>60</v>
      </c>
      <c r="D24" s="19" t="s">
        <v>102</v>
      </c>
      <c r="E24" s="19" t="str">
        <f t="shared" si="6"/>
        <v>ESCALADE 230 gal. drumPeriod 1</v>
      </c>
      <c r="F24" s="19" t="str">
        <f t="shared" si="7"/>
        <v>ESCALADE 230 gal. drumPeriod 2</v>
      </c>
      <c r="G24" s="23">
        <v>240</v>
      </c>
      <c r="H24" s="8">
        <v>0</v>
      </c>
      <c r="I24" s="8">
        <v>0</v>
      </c>
      <c r="J24" s="4">
        <f t="shared" si="2"/>
        <v>0</v>
      </c>
      <c r="K24" s="23">
        <v>60</v>
      </c>
      <c r="L24" s="8">
        <v>0</v>
      </c>
      <c r="M24" s="63">
        <f t="shared" si="3"/>
        <v>0</v>
      </c>
    </row>
    <row r="25" spans="1:13" x14ac:dyDescent="0.2">
      <c r="A25" s="59">
        <v>10111250</v>
      </c>
      <c r="B25" s="3" t="s">
        <v>13</v>
      </c>
      <c r="C25" s="19" t="s">
        <v>60</v>
      </c>
      <c r="D25" s="19" t="s">
        <v>103</v>
      </c>
      <c r="E25" s="19" t="str">
        <f t="shared" si="6"/>
        <v>ESCALADE 2250 gal. totePeriod 1</v>
      </c>
      <c r="F25" s="19" t="str">
        <f t="shared" si="7"/>
        <v>ESCALADE 2250 gal. totePeriod 2</v>
      </c>
      <c r="G25" s="23">
        <v>2000</v>
      </c>
      <c r="H25" s="8">
        <v>0</v>
      </c>
      <c r="I25" s="8">
        <v>0</v>
      </c>
      <c r="J25" s="4">
        <f t="shared" si="2"/>
        <v>0</v>
      </c>
      <c r="K25" s="23">
        <v>500</v>
      </c>
      <c r="L25" s="8">
        <v>0</v>
      </c>
      <c r="M25" s="63">
        <f t="shared" si="3"/>
        <v>0</v>
      </c>
    </row>
    <row r="26" spans="1:13" x14ac:dyDescent="0.2">
      <c r="A26" s="58">
        <v>10139225</v>
      </c>
      <c r="B26" s="32" t="s">
        <v>14</v>
      </c>
      <c r="C26" s="33" t="s">
        <v>61</v>
      </c>
      <c r="D26" s="33" t="s">
        <v>96</v>
      </c>
      <c r="E26" s="33" t="str">
        <f t="shared" si="6"/>
        <v>HORSEPOWER2.5 gal. bottlePeriod 1</v>
      </c>
      <c r="F26" s="33" t="str">
        <f t="shared" si="7"/>
        <v>HORSEPOWER2.5 gal. bottlePeriod 2</v>
      </c>
      <c r="G26" s="34">
        <v>15</v>
      </c>
      <c r="H26" s="34"/>
      <c r="I26" s="35">
        <v>0</v>
      </c>
      <c r="J26" s="36">
        <f t="shared" si="2"/>
        <v>0</v>
      </c>
      <c r="K26" s="34">
        <v>5</v>
      </c>
      <c r="L26" s="35">
        <v>0</v>
      </c>
      <c r="M26" s="62">
        <f t="shared" si="3"/>
        <v>0</v>
      </c>
    </row>
    <row r="27" spans="1:13" x14ac:dyDescent="0.2">
      <c r="A27" s="58">
        <v>10139225</v>
      </c>
      <c r="B27" s="32" t="s">
        <v>14</v>
      </c>
      <c r="C27" s="33" t="s">
        <v>61</v>
      </c>
      <c r="D27" s="33" t="s">
        <v>189</v>
      </c>
      <c r="E27" s="33" t="str">
        <f t="shared" ref="E27" si="24">CONCATENATE(C27,D27,$A$1)</f>
        <v>HORSEPOWER2.5 gal. bottle Volume 12+Period 1</v>
      </c>
      <c r="F27" s="33" t="str">
        <f t="shared" ref="F27" si="25">CONCATENATE(C27,D27,$A$2)</f>
        <v>HORSEPOWER2.5 gal. bottle Volume 12+Period 2</v>
      </c>
      <c r="G27" s="34"/>
      <c r="H27" s="34">
        <v>20</v>
      </c>
      <c r="I27" s="35">
        <v>0</v>
      </c>
      <c r="J27" s="36">
        <f t="shared" ref="J27" si="26">G27*I27</f>
        <v>0</v>
      </c>
      <c r="K27" s="34">
        <v>5</v>
      </c>
      <c r="L27" s="35">
        <v>0</v>
      </c>
      <c r="M27" s="62">
        <f t="shared" ref="M27" si="27">K27*L27</f>
        <v>0</v>
      </c>
    </row>
    <row r="28" spans="1:13" x14ac:dyDescent="0.2">
      <c r="A28" s="59">
        <v>10139030</v>
      </c>
      <c r="B28" s="3" t="s">
        <v>15</v>
      </c>
      <c r="C28" s="19" t="s">
        <v>61</v>
      </c>
      <c r="D28" s="19" t="s">
        <v>102</v>
      </c>
      <c r="E28" s="19" t="str">
        <f t="shared" si="6"/>
        <v>HORSEPOWER30 gal. drumPeriod 1</v>
      </c>
      <c r="F28" s="19" t="str">
        <f t="shared" si="7"/>
        <v>HORSEPOWER30 gal. drumPeriod 2</v>
      </c>
      <c r="G28" s="23">
        <v>240</v>
      </c>
      <c r="H28" s="8">
        <v>0</v>
      </c>
      <c r="I28" s="8">
        <v>0</v>
      </c>
      <c r="J28" s="4">
        <f t="shared" si="2"/>
        <v>0</v>
      </c>
      <c r="K28" s="23">
        <v>60</v>
      </c>
      <c r="L28" s="8">
        <v>0</v>
      </c>
      <c r="M28" s="63">
        <f t="shared" si="3"/>
        <v>0</v>
      </c>
    </row>
    <row r="29" spans="1:13" x14ac:dyDescent="0.2">
      <c r="A29" s="59">
        <v>10139250</v>
      </c>
      <c r="B29" s="3" t="s">
        <v>262</v>
      </c>
      <c r="C29" s="19" t="s">
        <v>61</v>
      </c>
      <c r="D29" s="19" t="s">
        <v>103</v>
      </c>
      <c r="E29" s="19" t="str">
        <f>CONCATENATE(C29,D29,$A$1)</f>
        <v>HORSEPOWER250 gal. totePeriod 1</v>
      </c>
      <c r="F29" s="19" t="str">
        <f>CONCATENATE(C29,D29,$A$2)</f>
        <v>HORSEPOWER250 gal. totePeriod 2</v>
      </c>
      <c r="G29" s="23">
        <v>2000</v>
      </c>
      <c r="H29" s="8"/>
      <c r="I29" s="8"/>
      <c r="J29" s="4">
        <f>G29*I29</f>
        <v>0</v>
      </c>
      <c r="K29" s="23">
        <v>500</v>
      </c>
      <c r="L29" s="8"/>
      <c r="M29" s="63">
        <f>K29*L29</f>
        <v>0</v>
      </c>
    </row>
    <row r="30" spans="1:13" x14ac:dyDescent="0.2">
      <c r="A30" s="59">
        <v>10181174</v>
      </c>
      <c r="B30" s="3" t="s">
        <v>16</v>
      </c>
      <c r="C30" s="19" t="s">
        <v>62</v>
      </c>
      <c r="D30" s="19" t="s">
        <v>122</v>
      </c>
      <c r="E30" s="19" t="str">
        <f t="shared" si="6"/>
        <v>MANOR2 wt oz. bottlePeriod 1</v>
      </c>
      <c r="F30" s="19" t="str">
        <f t="shared" si="7"/>
        <v>MANOR2 wt oz. bottlePeriod 2</v>
      </c>
      <c r="G30" s="23">
        <v>4</v>
      </c>
      <c r="H30" s="8">
        <v>0</v>
      </c>
      <c r="I30" s="8">
        <v>0</v>
      </c>
      <c r="J30" s="4">
        <f t="shared" si="2"/>
        <v>0</v>
      </c>
      <c r="K30" s="23">
        <v>2</v>
      </c>
      <c r="L30" s="8">
        <v>0</v>
      </c>
      <c r="M30" s="63">
        <f t="shared" si="3"/>
        <v>0</v>
      </c>
    </row>
    <row r="31" spans="1:13" x14ac:dyDescent="0.2">
      <c r="A31" s="59">
        <v>10181880</v>
      </c>
      <c r="B31" s="3" t="s">
        <v>17</v>
      </c>
      <c r="C31" s="19" t="s">
        <v>62</v>
      </c>
      <c r="D31" s="19" t="s">
        <v>104</v>
      </c>
      <c r="E31" s="19" t="str">
        <f t="shared" si="6"/>
        <v>MANOR8 wt oz. bottlePeriod 1</v>
      </c>
      <c r="F31" s="19" t="str">
        <f t="shared" si="7"/>
        <v>MANOR8 wt oz. bottlePeriod 2</v>
      </c>
      <c r="G31" s="23">
        <v>16</v>
      </c>
      <c r="H31" s="8">
        <v>0</v>
      </c>
      <c r="I31" s="8">
        <v>0</v>
      </c>
      <c r="J31" s="4">
        <f t="shared" si="2"/>
        <v>0</v>
      </c>
      <c r="K31" s="23">
        <v>8</v>
      </c>
      <c r="L31" s="8">
        <v>0</v>
      </c>
      <c r="M31" s="63">
        <f t="shared" si="3"/>
        <v>0</v>
      </c>
    </row>
    <row r="32" spans="1:13" x14ac:dyDescent="0.2">
      <c r="A32" s="58">
        <v>10195225</v>
      </c>
      <c r="B32" s="32" t="s">
        <v>18</v>
      </c>
      <c r="C32" s="33" t="s">
        <v>63</v>
      </c>
      <c r="D32" s="33" t="s">
        <v>96</v>
      </c>
      <c r="E32" s="33" t="str">
        <f t="shared" si="6"/>
        <v>MILLENNIUM ULTRA 22.5 gal. bottlePeriod 1</v>
      </c>
      <c r="F32" s="33" t="str">
        <f t="shared" si="7"/>
        <v>MILLENNIUM ULTRA 22.5 gal. bottlePeriod 2</v>
      </c>
      <c r="G32" s="34">
        <v>10</v>
      </c>
      <c r="H32" s="34"/>
      <c r="I32" s="35">
        <v>0</v>
      </c>
      <c r="J32" s="36">
        <f t="shared" si="2"/>
        <v>0</v>
      </c>
      <c r="K32" s="34">
        <v>5</v>
      </c>
      <c r="L32" s="35">
        <v>0</v>
      </c>
      <c r="M32" s="62">
        <f t="shared" si="3"/>
        <v>0</v>
      </c>
    </row>
    <row r="33" spans="1:13" x14ac:dyDescent="0.2">
      <c r="A33" s="58">
        <v>10195225</v>
      </c>
      <c r="B33" s="32" t="s">
        <v>18</v>
      </c>
      <c r="C33" s="33" t="s">
        <v>63</v>
      </c>
      <c r="D33" s="33" t="s">
        <v>198</v>
      </c>
      <c r="E33" s="33" t="str">
        <f t="shared" ref="E33" si="28">CONCATENATE(C33,D33,$A$1)</f>
        <v>MILLENNIUM ULTRA 22.5 gal. bottle Volume 6+Period 1</v>
      </c>
      <c r="F33" s="33" t="str">
        <f t="shared" ref="F33" si="29">CONCATENATE(C33,D33,$A$2)</f>
        <v>MILLENNIUM ULTRA 22.5 gal. bottle Volume 6+Period 2</v>
      </c>
      <c r="G33" s="34"/>
      <c r="H33" s="34">
        <v>50</v>
      </c>
      <c r="I33" s="35"/>
      <c r="J33" s="36"/>
      <c r="K33" s="34">
        <v>5</v>
      </c>
      <c r="L33" s="35"/>
      <c r="M33" s="62"/>
    </row>
    <row r="34" spans="1:13" x14ac:dyDescent="0.2">
      <c r="A34" s="58">
        <v>10195225</v>
      </c>
      <c r="B34" s="32" t="s">
        <v>18</v>
      </c>
      <c r="C34" s="33" t="s">
        <v>63</v>
      </c>
      <c r="D34" s="33" t="s">
        <v>261</v>
      </c>
      <c r="E34" s="33" t="str">
        <f t="shared" ref="E34" si="30">CONCATENATE(C34,D34,$A$1)</f>
        <v>MILLENNIUM ULTRA 22.5 gal. bottle Bundle 3Period 1</v>
      </c>
      <c r="F34" s="33" t="str">
        <f t="shared" ref="F34" si="31">CONCATENATE(C34,D34,$A$2)</f>
        <v>MILLENNIUM ULTRA 22.5 gal. bottle Bundle 3Period 2</v>
      </c>
      <c r="G34" s="34"/>
      <c r="H34" s="78"/>
      <c r="I34" s="78">
        <v>60</v>
      </c>
      <c r="J34" s="36"/>
      <c r="K34" s="34">
        <v>60</v>
      </c>
      <c r="L34" s="35"/>
      <c r="M34" s="62"/>
    </row>
    <row r="35" spans="1:13" x14ac:dyDescent="0.2">
      <c r="A35" s="59">
        <v>10195030</v>
      </c>
      <c r="B35" s="3" t="s">
        <v>19</v>
      </c>
      <c r="C35" s="19" t="s">
        <v>63</v>
      </c>
      <c r="D35" s="19" t="s">
        <v>102</v>
      </c>
      <c r="E35" s="19" t="str">
        <f t="shared" si="6"/>
        <v>MILLENNIUM ULTRA 230 gal. drumPeriod 1</v>
      </c>
      <c r="F35" s="19" t="str">
        <f t="shared" si="7"/>
        <v>MILLENNIUM ULTRA 230 gal. drumPeriod 2</v>
      </c>
      <c r="G35" s="23">
        <v>600</v>
      </c>
      <c r="H35" s="8">
        <v>0</v>
      </c>
      <c r="I35" s="8">
        <v>0</v>
      </c>
      <c r="J35" s="4">
        <f t="shared" si="2"/>
        <v>0</v>
      </c>
      <c r="K35" s="23">
        <v>60</v>
      </c>
      <c r="L35" s="8">
        <v>0</v>
      </c>
      <c r="M35" s="63">
        <f t="shared" si="3"/>
        <v>0</v>
      </c>
    </row>
    <row r="36" spans="1:13" x14ac:dyDescent="0.2">
      <c r="A36" s="59">
        <v>10895998</v>
      </c>
      <c r="B36" s="3" t="s">
        <v>201</v>
      </c>
      <c r="C36" s="19" t="s">
        <v>200</v>
      </c>
      <c r="D36" s="19" t="s">
        <v>203</v>
      </c>
      <c r="E36" s="19" t="str">
        <f>CONCATENATE(C36,D36,$A$1)</f>
        <v>SOUTHPAW16 wt oz. bottlePeriod 1</v>
      </c>
      <c r="F36" s="19" t="str">
        <f>CONCATENATE(C36,D36,$A$2)</f>
        <v>SOUTHPAW16 wt oz. bottlePeriod 2</v>
      </c>
      <c r="G36" s="23">
        <v>5</v>
      </c>
      <c r="H36" s="8"/>
      <c r="I36" s="8"/>
      <c r="J36" s="4">
        <f>G36*I36</f>
        <v>0</v>
      </c>
      <c r="K36" s="23">
        <v>3</v>
      </c>
      <c r="L36" s="8"/>
      <c r="M36" s="63">
        <f>K36*L36</f>
        <v>0</v>
      </c>
    </row>
    <row r="37" spans="1:13" x14ac:dyDescent="0.2">
      <c r="A37" s="59">
        <v>10895045</v>
      </c>
      <c r="B37" s="3" t="s">
        <v>199</v>
      </c>
      <c r="C37" s="19" t="s">
        <v>200</v>
      </c>
      <c r="D37" s="19" t="s">
        <v>124</v>
      </c>
      <c r="E37" s="19" t="str">
        <f>CONCATENATE(C37,D37,$A$1)</f>
        <v>SOUTHPAW5 lb. bottlePeriod 1</v>
      </c>
      <c r="F37" s="19" t="str">
        <f>CONCATENATE(C37,D37,$A$2)</f>
        <v>SOUTHPAW5 lb. bottlePeriod 2</v>
      </c>
      <c r="G37" s="23">
        <v>25</v>
      </c>
      <c r="H37" s="8"/>
      <c r="I37" s="8"/>
      <c r="J37" s="4">
        <f>G37*I37</f>
        <v>0</v>
      </c>
      <c r="K37" s="23">
        <v>10</v>
      </c>
      <c r="L37" s="8"/>
      <c r="M37" s="63">
        <f>K37*L37</f>
        <v>0</v>
      </c>
    </row>
    <row r="38" spans="1:13" x14ac:dyDescent="0.2">
      <c r="A38" s="59">
        <v>10895045</v>
      </c>
      <c r="B38" s="3" t="s">
        <v>199</v>
      </c>
      <c r="C38" s="19" t="s">
        <v>200</v>
      </c>
      <c r="D38" s="19" t="s">
        <v>202</v>
      </c>
      <c r="E38" s="19" t="str">
        <f>CONCATENATE(C38,D38,$A$1)</f>
        <v>SOUTHPAW5 lb. bottle Volume 4+Period 1</v>
      </c>
      <c r="F38" s="19" t="str">
        <f>CONCATENATE(C38,D38,$A$2)</f>
        <v>SOUTHPAW5 lb. bottle Volume 4+Period 2</v>
      </c>
      <c r="G38" s="23"/>
      <c r="H38" s="77">
        <v>50</v>
      </c>
      <c r="I38" s="8"/>
      <c r="J38" s="4">
        <f>G38*I38</f>
        <v>0</v>
      </c>
      <c r="K38" s="23">
        <v>10</v>
      </c>
      <c r="L38" s="8"/>
      <c r="M38" s="63">
        <f>K38*L38</f>
        <v>0</v>
      </c>
    </row>
    <row r="39" spans="1:13" x14ac:dyDescent="0.2">
      <c r="A39" s="60">
        <v>10874861</v>
      </c>
      <c r="B39" s="49" t="s">
        <v>207</v>
      </c>
      <c r="C39" s="50" t="s">
        <v>205</v>
      </c>
      <c r="D39" s="50" t="s">
        <v>105</v>
      </c>
      <c r="E39" s="50" t="str">
        <f t="shared" si="6"/>
        <v>SUREGUARD EZ1 pt. bottlePeriod 1</v>
      </c>
      <c r="F39" s="50" t="str">
        <f t="shared" si="7"/>
        <v>SUREGUARD EZ1 pt. bottlePeriod 2</v>
      </c>
      <c r="G39" s="51">
        <v>6</v>
      </c>
      <c r="H39" s="52">
        <v>0</v>
      </c>
      <c r="I39" s="52">
        <v>0</v>
      </c>
      <c r="J39" s="53">
        <f t="shared" si="2"/>
        <v>0</v>
      </c>
      <c r="K39" s="51">
        <v>2</v>
      </c>
      <c r="L39" s="52">
        <v>0</v>
      </c>
      <c r="M39" s="64">
        <f t="shared" si="3"/>
        <v>0</v>
      </c>
    </row>
    <row r="40" spans="1:13" x14ac:dyDescent="0.2">
      <c r="A40" s="60">
        <v>10874464</v>
      </c>
      <c r="B40" s="49" t="s">
        <v>208</v>
      </c>
      <c r="C40" s="50" t="s">
        <v>205</v>
      </c>
      <c r="D40" s="50" t="s">
        <v>106</v>
      </c>
      <c r="E40" s="50" t="str">
        <f t="shared" ref="E40" si="32">CONCATENATE(C40,D40,$A$1)</f>
        <v>SUREGUARD EZ64 fl oz. bottlePeriod 1</v>
      </c>
      <c r="F40" s="50" t="str">
        <f t="shared" ref="F40" si="33">CONCATENATE(C40,D40,$A$2)</f>
        <v>SUREGUARD EZ64 fl oz. bottlePeriod 2</v>
      </c>
      <c r="G40" s="51">
        <v>25</v>
      </c>
      <c r="H40" s="51"/>
      <c r="I40" s="52">
        <v>0</v>
      </c>
      <c r="J40" s="53">
        <f t="shared" ref="J40" si="34">G40*I40</f>
        <v>0</v>
      </c>
      <c r="K40" s="51">
        <v>5</v>
      </c>
      <c r="L40" s="52">
        <v>0</v>
      </c>
      <c r="M40" s="64">
        <f t="shared" ref="M40" si="35">K40*L40</f>
        <v>0</v>
      </c>
    </row>
    <row r="41" spans="1:13" x14ac:dyDescent="0.2">
      <c r="A41" s="60">
        <v>10874464</v>
      </c>
      <c r="B41" s="49" t="s">
        <v>208</v>
      </c>
      <c r="C41" s="50" t="s">
        <v>205</v>
      </c>
      <c r="D41" s="50" t="s">
        <v>209</v>
      </c>
      <c r="E41" s="50" t="str">
        <f t="shared" si="6"/>
        <v>SUREGUARD EZ64 fl oz. bottle Volume 8+Period 1</v>
      </c>
      <c r="F41" s="50" t="str">
        <f t="shared" si="7"/>
        <v>SUREGUARD EZ64 fl oz. bottle Volume 8+Period 2</v>
      </c>
      <c r="G41" s="51"/>
      <c r="H41" s="51">
        <v>30</v>
      </c>
      <c r="I41" s="52">
        <v>0</v>
      </c>
      <c r="J41" s="53">
        <f t="shared" si="2"/>
        <v>0</v>
      </c>
      <c r="K41" s="51">
        <v>5</v>
      </c>
      <c r="L41" s="52">
        <v>0</v>
      </c>
      <c r="M41" s="64">
        <f t="shared" si="3"/>
        <v>0</v>
      </c>
    </row>
    <row r="42" spans="1:13" x14ac:dyDescent="0.2">
      <c r="A42" s="59">
        <v>10872041</v>
      </c>
      <c r="B42" s="32" t="s">
        <v>211</v>
      </c>
      <c r="C42" s="33" t="s">
        <v>320</v>
      </c>
      <c r="D42" s="33" t="s">
        <v>111</v>
      </c>
      <c r="E42" s="33" t="str">
        <f t="shared" ref="E42:E43" si="36">CONCATENATE(C42,D42,$A$1)</f>
        <v>SUREGUARD XTRA1 gal. bottlePeriod 1</v>
      </c>
      <c r="F42" s="33" t="str">
        <f t="shared" ref="F42:F43" si="37">CONCATENATE(C42,D42,$A$2)</f>
        <v>SUREGUARD XTRA1 gal. bottlePeriod 2</v>
      </c>
      <c r="G42" s="34">
        <v>85</v>
      </c>
      <c r="H42" s="34"/>
      <c r="I42" s="35">
        <v>0</v>
      </c>
      <c r="J42" s="36">
        <f t="shared" ref="J42:J43" si="38">G42*I42</f>
        <v>0</v>
      </c>
      <c r="K42" s="34">
        <v>25</v>
      </c>
      <c r="L42" s="35">
        <v>0</v>
      </c>
      <c r="M42" s="62">
        <f t="shared" ref="M42:M43" si="39">K42*L42</f>
        <v>0</v>
      </c>
    </row>
    <row r="43" spans="1:13" x14ac:dyDescent="0.2">
      <c r="A43" s="59">
        <v>10872041</v>
      </c>
      <c r="B43" s="32" t="s">
        <v>211</v>
      </c>
      <c r="C43" s="33" t="s">
        <v>320</v>
      </c>
      <c r="D43" s="33" t="s">
        <v>212</v>
      </c>
      <c r="E43" s="33" t="str">
        <f t="shared" si="36"/>
        <v>SUREGUARD XTRA1 gal. bottle Volume 4+Period 1</v>
      </c>
      <c r="F43" s="33" t="str">
        <f t="shared" si="37"/>
        <v>SUREGUARD XTRA1 gal. bottle Volume 4+Period 2</v>
      </c>
      <c r="G43" s="34"/>
      <c r="H43" s="34">
        <v>120</v>
      </c>
      <c r="I43" s="35">
        <v>0</v>
      </c>
      <c r="J43" s="36">
        <f t="shared" si="38"/>
        <v>0</v>
      </c>
      <c r="K43" s="34">
        <v>25</v>
      </c>
      <c r="L43" s="35">
        <v>0</v>
      </c>
      <c r="M43" s="62">
        <f t="shared" si="39"/>
        <v>0</v>
      </c>
    </row>
    <row r="44" spans="1:13" x14ac:dyDescent="0.2">
      <c r="A44" s="59">
        <v>10872041</v>
      </c>
      <c r="B44" s="32" t="s">
        <v>211</v>
      </c>
      <c r="C44" s="33" t="s">
        <v>320</v>
      </c>
      <c r="D44" s="33" t="s">
        <v>271</v>
      </c>
      <c r="E44" s="33" t="str">
        <f t="shared" ref="E44" si="40">CONCATENATE(C44,D44,$A$1)</f>
        <v>SUREGUARD XTRA1 gal. bottle Bundle EZ Nursery Weed &amp; Disease SolutionPeriod 1</v>
      </c>
      <c r="F44" s="33" t="str">
        <f t="shared" ref="F44" si="41">CONCATENATE(C44,D44,$A$2)</f>
        <v>SUREGUARD XTRA1 gal. bottle Bundle EZ Nursery Weed &amp; Disease SolutionPeriod 2</v>
      </c>
      <c r="G44" s="34"/>
      <c r="H44" s="34"/>
      <c r="I44" s="78">
        <v>140</v>
      </c>
      <c r="J44" s="36">
        <f t="shared" ref="J44" si="42">G44*I44</f>
        <v>0</v>
      </c>
      <c r="K44" s="34">
        <v>140</v>
      </c>
      <c r="L44" s="35">
        <v>0</v>
      </c>
      <c r="M44" s="62">
        <f t="shared" ref="M44" si="43">K44*L44</f>
        <v>0</v>
      </c>
    </row>
    <row r="45" spans="1:13" x14ac:dyDescent="0.2">
      <c r="A45" s="59">
        <v>10724225</v>
      </c>
      <c r="B45" s="3" t="s">
        <v>21</v>
      </c>
      <c r="C45" s="19" t="s">
        <v>92</v>
      </c>
      <c r="D45" s="19" t="s">
        <v>96</v>
      </c>
      <c r="E45" s="19" t="str">
        <f t="shared" si="6"/>
        <v>SURE POWER2.5 gal. bottlePeriod 1</v>
      </c>
      <c r="F45" s="19" t="str">
        <f t="shared" si="7"/>
        <v>SURE POWER2.5 gal. bottlePeriod 2</v>
      </c>
      <c r="G45" s="23">
        <v>10</v>
      </c>
      <c r="H45" s="8">
        <v>0</v>
      </c>
      <c r="I45" s="8">
        <v>0</v>
      </c>
      <c r="J45" s="4">
        <f t="shared" si="2"/>
        <v>0</v>
      </c>
      <c r="K45" s="23">
        <v>5</v>
      </c>
      <c r="L45" s="8">
        <v>0</v>
      </c>
      <c r="M45" s="63">
        <f t="shared" si="3"/>
        <v>0</v>
      </c>
    </row>
    <row r="46" spans="1:13" x14ac:dyDescent="0.2">
      <c r="A46" s="59">
        <v>10724030</v>
      </c>
      <c r="B46" s="3" t="s">
        <v>22</v>
      </c>
      <c r="C46" s="19" t="s">
        <v>92</v>
      </c>
      <c r="D46" s="19" t="s">
        <v>102</v>
      </c>
      <c r="E46" s="19" t="str">
        <f t="shared" si="6"/>
        <v>SURE POWER30 gal. drumPeriod 1</v>
      </c>
      <c r="F46" s="19" t="str">
        <f t="shared" si="7"/>
        <v>SURE POWER30 gal. drumPeriod 2</v>
      </c>
      <c r="G46" s="23">
        <v>120</v>
      </c>
      <c r="H46" s="8">
        <v>0</v>
      </c>
      <c r="I46" s="8">
        <v>0</v>
      </c>
      <c r="J46" s="4">
        <f t="shared" si="2"/>
        <v>0</v>
      </c>
      <c r="K46" s="23">
        <v>60</v>
      </c>
      <c r="L46" s="8">
        <v>0</v>
      </c>
      <c r="M46" s="63">
        <f t="shared" si="3"/>
        <v>0</v>
      </c>
    </row>
    <row r="47" spans="1:13" x14ac:dyDescent="0.2">
      <c r="A47" s="59">
        <v>10361225</v>
      </c>
      <c r="B47" s="3" t="s">
        <v>23</v>
      </c>
      <c r="C47" s="19" t="s">
        <v>64</v>
      </c>
      <c r="D47" s="19" t="s">
        <v>96</v>
      </c>
      <c r="E47" s="19" t="str">
        <f t="shared" si="6"/>
        <v>TRIPLET LOW ODOR2.5 gal. bottlePeriod 1</v>
      </c>
      <c r="F47" s="19" t="str">
        <f t="shared" si="7"/>
        <v>TRIPLET LOW ODOR2.5 gal. bottlePeriod 2</v>
      </c>
      <c r="G47" s="23">
        <v>15</v>
      </c>
      <c r="H47" s="8">
        <v>0</v>
      </c>
      <c r="I47" s="8">
        <v>0</v>
      </c>
      <c r="J47" s="4">
        <f t="shared" si="2"/>
        <v>0</v>
      </c>
      <c r="K47" s="23">
        <v>5</v>
      </c>
      <c r="L47" s="8">
        <v>0</v>
      </c>
      <c r="M47" s="63">
        <f t="shared" si="3"/>
        <v>0</v>
      </c>
    </row>
    <row r="48" spans="1:13" x14ac:dyDescent="0.2">
      <c r="A48" s="59">
        <v>10361030</v>
      </c>
      <c r="B48" s="3" t="s">
        <v>24</v>
      </c>
      <c r="C48" s="19" t="s">
        <v>64</v>
      </c>
      <c r="D48" s="19" t="s">
        <v>102</v>
      </c>
      <c r="E48" s="19" t="str">
        <f t="shared" si="6"/>
        <v>TRIPLET LOW ODOR30 gal. drumPeriod 1</v>
      </c>
      <c r="F48" s="19" t="str">
        <f t="shared" si="7"/>
        <v>TRIPLET LOW ODOR30 gal. drumPeriod 2</v>
      </c>
      <c r="G48" s="23">
        <v>180</v>
      </c>
      <c r="H48" s="8">
        <v>0</v>
      </c>
      <c r="I48" s="8">
        <v>0</v>
      </c>
      <c r="J48" s="4">
        <f t="shared" si="2"/>
        <v>0</v>
      </c>
      <c r="K48" s="23">
        <v>60</v>
      </c>
      <c r="L48" s="8">
        <v>0</v>
      </c>
      <c r="M48" s="63">
        <f t="shared" si="3"/>
        <v>0</v>
      </c>
    </row>
    <row r="49" spans="1:13" x14ac:dyDescent="0.2">
      <c r="A49" s="59">
        <v>10885861</v>
      </c>
      <c r="B49" s="3" t="s">
        <v>258</v>
      </c>
      <c r="C49" s="19" t="s">
        <v>259</v>
      </c>
      <c r="D49" s="19" t="s">
        <v>105</v>
      </c>
      <c r="E49" s="19" t="str">
        <f>CONCATENATE(C49,D49,$A$1)</f>
        <v>VELOCITY PM1 pt. bottlePeriod 1</v>
      </c>
      <c r="F49" s="19" t="str">
        <f>CONCATENATE(C49,D49,$A$2)</f>
        <v>VELOCITY PM1 pt. bottlePeriod 2</v>
      </c>
      <c r="G49" s="23">
        <v>18</v>
      </c>
      <c r="H49" s="8">
        <v>0</v>
      </c>
      <c r="I49" s="8">
        <v>0</v>
      </c>
      <c r="J49" s="4">
        <f>G49*I49</f>
        <v>0</v>
      </c>
      <c r="K49" s="23">
        <v>10</v>
      </c>
      <c r="L49" s="8">
        <v>0</v>
      </c>
      <c r="M49" s="63">
        <f>K49*L49</f>
        <v>0</v>
      </c>
    </row>
    <row r="50" spans="1:13" s="2" customFormat="1" x14ac:dyDescent="0.2">
      <c r="A50" s="59"/>
      <c r="B50" s="1" t="s">
        <v>25</v>
      </c>
      <c r="C50" s="18" t="s">
        <v>25</v>
      </c>
      <c r="D50" s="19"/>
      <c r="E50" s="19" t="str">
        <f t="shared" si="6"/>
        <v>InsecticidesPeriod 1</v>
      </c>
      <c r="F50" s="19" t="str">
        <f t="shared" si="7"/>
        <v>InsecticidesPeriod 2</v>
      </c>
      <c r="G50" s="24"/>
      <c r="H50" s="10"/>
      <c r="I50" s="7"/>
      <c r="J50" s="4"/>
      <c r="K50" s="24"/>
      <c r="L50" s="7"/>
      <c r="M50" s="63"/>
    </row>
    <row r="51" spans="1:13" x14ac:dyDescent="0.2">
      <c r="A51" s="59">
        <v>10678464</v>
      </c>
      <c r="B51" s="32" t="s">
        <v>226</v>
      </c>
      <c r="C51" s="33" t="s">
        <v>224</v>
      </c>
      <c r="D51" s="33" t="s">
        <v>106</v>
      </c>
      <c r="E51" s="33" t="str">
        <f t="shared" si="6"/>
        <v>ALOFT GC SC64 fl oz. bottlePeriod 1</v>
      </c>
      <c r="F51" s="33" t="str">
        <f t="shared" si="7"/>
        <v>ALOFT GC SC64 fl oz. bottlePeriod 2</v>
      </c>
      <c r="G51" s="34">
        <v>65</v>
      </c>
      <c r="H51" s="34"/>
      <c r="I51" s="35">
        <v>0</v>
      </c>
      <c r="J51" s="36">
        <f t="shared" ref="J51:J81" si="44">G51*I51</f>
        <v>0</v>
      </c>
      <c r="K51" s="34">
        <v>10</v>
      </c>
      <c r="L51" s="35">
        <v>0</v>
      </c>
      <c r="M51" s="62">
        <f t="shared" ref="M51:M81" si="45">K51*L51</f>
        <v>0</v>
      </c>
    </row>
    <row r="52" spans="1:13" x14ac:dyDescent="0.2">
      <c r="A52" s="59">
        <v>10678464</v>
      </c>
      <c r="B52" s="32" t="s">
        <v>226</v>
      </c>
      <c r="C52" s="33" t="s">
        <v>224</v>
      </c>
      <c r="D52" s="33" t="s">
        <v>209</v>
      </c>
      <c r="E52" s="33" t="str">
        <f t="shared" ref="E52" si="46">CONCATENATE(C52,D52,$A$1)</f>
        <v>ALOFT GC SC64 fl oz. bottle Volume 8+Period 1</v>
      </c>
      <c r="F52" s="33" t="str">
        <f t="shared" ref="F52" si="47">CONCATENATE(C52,D52,$A$2)</f>
        <v>ALOFT GC SC64 fl oz. bottle Volume 8+Period 2</v>
      </c>
      <c r="G52" s="34"/>
      <c r="H52" s="34">
        <v>130</v>
      </c>
      <c r="I52" s="35"/>
      <c r="J52" s="36"/>
      <c r="K52" s="34">
        <v>10</v>
      </c>
      <c r="L52" s="35"/>
      <c r="M52" s="62"/>
    </row>
    <row r="53" spans="1:13" x14ac:dyDescent="0.2">
      <c r="A53" s="59">
        <v>10669032</v>
      </c>
      <c r="B53" s="3" t="s">
        <v>26</v>
      </c>
      <c r="C53" s="19" t="s">
        <v>89</v>
      </c>
      <c r="D53" s="19" t="s">
        <v>107</v>
      </c>
      <c r="E53" s="19" t="str">
        <f t="shared" si="6"/>
        <v>ALOFT LC G30 lb. bagPeriod 1</v>
      </c>
      <c r="F53" s="19" t="str">
        <f t="shared" si="7"/>
        <v>ALOFT LC G30 lb. bagPeriod 2</v>
      </c>
      <c r="G53" s="23">
        <v>3</v>
      </c>
      <c r="H53" s="8">
        <v>0</v>
      </c>
      <c r="I53" s="8">
        <v>0</v>
      </c>
      <c r="J53" s="4">
        <f t="shared" si="44"/>
        <v>0</v>
      </c>
      <c r="K53" s="23">
        <v>1</v>
      </c>
      <c r="L53" s="8">
        <v>0</v>
      </c>
      <c r="M53" s="63">
        <f t="shared" si="45"/>
        <v>0</v>
      </c>
    </row>
    <row r="54" spans="1:13" x14ac:dyDescent="0.2">
      <c r="A54" s="59">
        <v>10669032</v>
      </c>
      <c r="B54" s="3" t="s">
        <v>26</v>
      </c>
      <c r="C54" s="19" t="s">
        <v>89</v>
      </c>
      <c r="D54" s="19" t="s">
        <v>228</v>
      </c>
      <c r="E54" s="19" t="str">
        <f t="shared" ref="E54" si="48">CONCATENATE(C54,D54,$A$1)</f>
        <v>ALOFT LC G30 lb. bag Volume 50+Period 1</v>
      </c>
      <c r="F54" s="19" t="str">
        <f t="shared" ref="F54" si="49">CONCATENATE(C54,D54,$A$2)</f>
        <v>ALOFT LC G30 lb. bag Volume 50+Period 2</v>
      </c>
      <c r="G54" s="23"/>
      <c r="H54" s="77">
        <v>6</v>
      </c>
      <c r="I54" s="8">
        <v>0</v>
      </c>
      <c r="J54" s="4">
        <f t="shared" ref="J54" si="50">G54*I54</f>
        <v>0</v>
      </c>
      <c r="K54" s="23">
        <v>1</v>
      </c>
      <c r="L54" s="8">
        <v>0</v>
      </c>
      <c r="M54" s="63">
        <f t="shared" ref="M54" si="51">K54*L54</f>
        <v>0</v>
      </c>
    </row>
    <row r="55" spans="1:13" x14ac:dyDescent="0.2">
      <c r="A55" s="59">
        <v>10677464</v>
      </c>
      <c r="B55" s="32" t="s">
        <v>230</v>
      </c>
      <c r="C55" s="33" t="s">
        <v>229</v>
      </c>
      <c r="D55" s="33" t="s">
        <v>106</v>
      </c>
      <c r="E55" s="33" t="str">
        <f t="shared" si="6"/>
        <v>ALOFT LC SC64 fl oz. bottlePeriod 1</v>
      </c>
      <c r="F55" s="33" t="str">
        <f t="shared" si="7"/>
        <v>ALOFT LC SC64 fl oz. bottlePeriod 2</v>
      </c>
      <c r="G55" s="34">
        <v>65</v>
      </c>
      <c r="H55" s="34"/>
      <c r="I55" s="35">
        <v>0</v>
      </c>
      <c r="J55" s="36">
        <f t="shared" si="44"/>
        <v>0</v>
      </c>
      <c r="K55" s="34">
        <v>10</v>
      </c>
      <c r="L55" s="35">
        <v>0</v>
      </c>
      <c r="M55" s="62">
        <f t="shared" si="45"/>
        <v>0</v>
      </c>
    </row>
    <row r="56" spans="1:13" x14ac:dyDescent="0.2">
      <c r="A56" s="59">
        <v>10677464</v>
      </c>
      <c r="B56" s="32" t="s">
        <v>230</v>
      </c>
      <c r="C56" s="33" t="s">
        <v>229</v>
      </c>
      <c r="D56" s="33" t="s">
        <v>209</v>
      </c>
      <c r="E56" s="33" t="str">
        <f t="shared" ref="E56" si="52">CONCATENATE(C56,D56,$A$1)</f>
        <v>ALOFT LC SC64 fl oz. bottle Volume 8+Period 1</v>
      </c>
      <c r="F56" s="33" t="str">
        <f t="shared" ref="F56" si="53">CONCATENATE(C56,D56,$A$2)</f>
        <v>ALOFT LC SC64 fl oz. bottle Volume 8+Period 2</v>
      </c>
      <c r="G56" s="34"/>
      <c r="H56" s="34">
        <v>130</v>
      </c>
      <c r="I56" s="35"/>
      <c r="J56" s="36"/>
      <c r="K56" s="34">
        <v>10</v>
      </c>
      <c r="L56" s="35"/>
      <c r="M56" s="62"/>
    </row>
    <row r="57" spans="1:13" x14ac:dyDescent="0.2">
      <c r="A57" s="59">
        <v>10580032</v>
      </c>
      <c r="B57" s="3" t="s">
        <v>27</v>
      </c>
      <c r="C57" s="19" t="s">
        <v>75</v>
      </c>
      <c r="D57" s="19" t="s">
        <v>107</v>
      </c>
      <c r="E57" s="19" t="str">
        <f t="shared" si="6"/>
        <v>ARENA 0.25 G30 lb. bagPeriod 1</v>
      </c>
      <c r="F57" s="19" t="str">
        <f t="shared" si="7"/>
        <v>ARENA 0.25 G30 lb. bagPeriod 2</v>
      </c>
      <c r="G57" s="23">
        <v>3</v>
      </c>
      <c r="H57" s="8">
        <v>0</v>
      </c>
      <c r="I57" s="8">
        <v>0</v>
      </c>
      <c r="J57" s="4">
        <f t="shared" si="44"/>
        <v>0</v>
      </c>
      <c r="K57" s="23">
        <v>1</v>
      </c>
      <c r="L57" s="8">
        <v>0</v>
      </c>
      <c r="M57" s="63">
        <f t="shared" si="45"/>
        <v>0</v>
      </c>
    </row>
    <row r="58" spans="1:13" x14ac:dyDescent="0.2">
      <c r="A58" s="59">
        <v>10580032</v>
      </c>
      <c r="B58" s="3" t="s">
        <v>27</v>
      </c>
      <c r="C58" s="19" t="s">
        <v>75</v>
      </c>
      <c r="D58" s="19" t="s">
        <v>228</v>
      </c>
      <c r="E58" s="19" t="str">
        <f t="shared" ref="E58" si="54">CONCATENATE(C58,D58,$A$1)</f>
        <v>ARENA 0.25 G30 lb. bag Volume 50+Period 1</v>
      </c>
      <c r="F58" s="19" t="str">
        <f t="shared" ref="F58" si="55">CONCATENATE(C58,D58,$A$2)</f>
        <v>ARENA 0.25 G30 lb. bag Volume 50+Period 2</v>
      </c>
      <c r="G58" s="23"/>
      <c r="H58" s="77">
        <v>6</v>
      </c>
      <c r="I58" s="8">
        <v>0</v>
      </c>
      <c r="J58" s="4">
        <f t="shared" ref="J58" si="56">G58*I58</f>
        <v>0</v>
      </c>
      <c r="K58" s="23">
        <v>1</v>
      </c>
      <c r="L58" s="8">
        <v>0</v>
      </c>
      <c r="M58" s="63">
        <f t="shared" ref="M58" si="57">K58*L58</f>
        <v>0</v>
      </c>
    </row>
    <row r="59" spans="1:13" x14ac:dyDescent="0.2">
      <c r="A59" s="59">
        <v>10581440</v>
      </c>
      <c r="B59" s="3" t="s">
        <v>28</v>
      </c>
      <c r="C59" s="31" t="s">
        <v>76</v>
      </c>
      <c r="D59" s="19" t="s">
        <v>108</v>
      </c>
      <c r="E59" s="19" t="str">
        <f t="shared" si="6"/>
        <v>ARENA 50 WDG40 wt oz. bottlePeriod 1</v>
      </c>
      <c r="F59" s="19" t="str">
        <f t="shared" si="7"/>
        <v>ARENA 50 WDG40 wt oz. bottlePeriod 2</v>
      </c>
      <c r="G59" s="23">
        <v>50</v>
      </c>
      <c r="H59" s="8">
        <v>0</v>
      </c>
      <c r="I59" s="8">
        <v>0</v>
      </c>
      <c r="J59" s="4">
        <f t="shared" si="44"/>
        <v>0</v>
      </c>
      <c r="K59" s="23">
        <v>20</v>
      </c>
      <c r="L59" s="8">
        <v>0</v>
      </c>
      <c r="M59" s="63">
        <f t="shared" si="45"/>
        <v>0</v>
      </c>
    </row>
    <row r="60" spans="1:13" x14ac:dyDescent="0.2">
      <c r="A60" s="59">
        <v>10581440</v>
      </c>
      <c r="B60" s="3" t="s">
        <v>28</v>
      </c>
      <c r="C60" s="31" t="s">
        <v>76</v>
      </c>
      <c r="D60" s="19" t="s">
        <v>233</v>
      </c>
      <c r="E60" s="19" t="str">
        <f t="shared" ref="E60" si="58">CONCATENATE(C60,D60,$A$1)</f>
        <v>ARENA 50 WDG40 wt oz. bottle Volume 8+Period 1</v>
      </c>
      <c r="F60" s="19" t="str">
        <f t="shared" ref="F60" si="59">CONCATENATE(C60,D60,$A$2)</f>
        <v>ARENA 50 WDG40 wt oz. bottle Volume 8+Period 2</v>
      </c>
      <c r="G60" s="23"/>
      <c r="H60" s="77">
        <v>140</v>
      </c>
      <c r="I60" s="8">
        <v>0</v>
      </c>
      <c r="J60" s="4">
        <f t="shared" ref="J60" si="60">G60*I60</f>
        <v>0</v>
      </c>
      <c r="K60" s="23">
        <v>20</v>
      </c>
      <c r="L60" s="8">
        <v>0</v>
      </c>
      <c r="M60" s="63">
        <f t="shared" ref="M60" si="61">K60*L60</f>
        <v>0</v>
      </c>
    </row>
    <row r="61" spans="1:13" x14ac:dyDescent="0.2">
      <c r="A61" s="59">
        <v>10586301</v>
      </c>
      <c r="B61" s="3" t="s">
        <v>29</v>
      </c>
      <c r="C61" s="19" t="s">
        <v>78</v>
      </c>
      <c r="D61" s="19" t="s">
        <v>101</v>
      </c>
      <c r="E61" s="19" t="str">
        <f t="shared" si="6"/>
        <v>DIPEL PRO DF1 lb. bagPeriod 1</v>
      </c>
      <c r="F61" s="19" t="str">
        <f t="shared" si="7"/>
        <v>DIPEL PRO DF1 lb. bagPeriod 2</v>
      </c>
      <c r="G61" s="23">
        <v>1</v>
      </c>
      <c r="H61" s="8">
        <v>0</v>
      </c>
      <c r="I61" s="8">
        <v>0</v>
      </c>
      <c r="J61" s="4">
        <f t="shared" si="44"/>
        <v>0</v>
      </c>
      <c r="K61" s="23">
        <v>1</v>
      </c>
      <c r="L61" s="8">
        <v>0</v>
      </c>
      <c r="M61" s="63">
        <f t="shared" si="45"/>
        <v>0</v>
      </c>
    </row>
    <row r="62" spans="1:13" x14ac:dyDescent="0.2">
      <c r="A62" s="59">
        <v>10588432</v>
      </c>
      <c r="B62" s="3" t="s">
        <v>30</v>
      </c>
      <c r="C62" s="19" t="s">
        <v>79</v>
      </c>
      <c r="D62" s="19" t="s">
        <v>109</v>
      </c>
      <c r="E62" s="19" t="str">
        <f t="shared" si="6"/>
        <v>DISTANCE IGR1 qt. bottlePeriod 1</v>
      </c>
      <c r="F62" s="19" t="str">
        <f t="shared" si="7"/>
        <v>DISTANCE IGR1 qt. bottlePeriod 2</v>
      </c>
      <c r="G62" s="23">
        <v>38</v>
      </c>
      <c r="H62" s="8">
        <v>0</v>
      </c>
      <c r="I62" s="8">
        <v>0</v>
      </c>
      <c r="J62" s="4">
        <f t="shared" si="44"/>
        <v>0</v>
      </c>
      <c r="K62" s="23">
        <v>5</v>
      </c>
      <c r="L62" s="8">
        <v>0</v>
      </c>
      <c r="M62" s="63">
        <f t="shared" si="45"/>
        <v>0</v>
      </c>
    </row>
    <row r="63" spans="1:13" x14ac:dyDescent="0.2">
      <c r="A63" s="59">
        <v>10809861</v>
      </c>
      <c r="B63" s="14" t="s">
        <v>56</v>
      </c>
      <c r="C63" s="31" t="s">
        <v>93</v>
      </c>
      <c r="D63" s="19" t="s">
        <v>105</v>
      </c>
      <c r="E63" s="19" t="str">
        <f t="shared" si="6"/>
        <v>ENGULF GHN1 pt. bottlePeriod 1</v>
      </c>
      <c r="F63" s="19" t="str">
        <f t="shared" si="7"/>
        <v>ENGULF GHN1 pt. bottlePeriod 2</v>
      </c>
      <c r="G63" s="23">
        <v>20</v>
      </c>
      <c r="H63" s="8">
        <v>0</v>
      </c>
      <c r="I63" s="8">
        <v>0</v>
      </c>
      <c r="J63" s="4">
        <f t="shared" si="44"/>
        <v>0</v>
      </c>
      <c r="K63" s="23">
        <v>10</v>
      </c>
      <c r="L63" s="8"/>
      <c r="M63" s="63">
        <f t="shared" si="45"/>
        <v>0</v>
      </c>
    </row>
    <row r="64" spans="1:13" x14ac:dyDescent="0.2">
      <c r="A64" s="59">
        <v>10809861</v>
      </c>
      <c r="B64" s="14" t="s">
        <v>56</v>
      </c>
      <c r="C64" s="31" t="s">
        <v>93</v>
      </c>
      <c r="D64" s="19" t="s">
        <v>241</v>
      </c>
      <c r="E64" s="19" t="str">
        <f t="shared" ref="E64" si="62">CONCATENATE(C64,D64,$A$1)</f>
        <v>ENGULF GHN1 pt. bottle Volume 8+Period 1</v>
      </c>
      <c r="F64" s="19" t="str">
        <f t="shared" ref="F64" si="63">CONCATENATE(C64,D64,$A$2)</f>
        <v>ENGULF GHN1 pt. bottle Volume 8+Period 2</v>
      </c>
      <c r="G64" s="23"/>
      <c r="H64" s="77">
        <v>25</v>
      </c>
      <c r="I64" s="8">
        <v>0</v>
      </c>
      <c r="J64" s="4">
        <f t="shared" ref="J64" si="64">G64*I64</f>
        <v>0</v>
      </c>
      <c r="K64" s="23">
        <v>10</v>
      </c>
      <c r="L64" s="8"/>
      <c r="M64" s="63">
        <f t="shared" ref="M64" si="65">K64*L64</f>
        <v>0</v>
      </c>
    </row>
    <row r="65" spans="1:13" x14ac:dyDescent="0.2">
      <c r="A65" s="59">
        <v>10809861</v>
      </c>
      <c r="B65" s="14" t="s">
        <v>56</v>
      </c>
      <c r="C65" s="31" t="s">
        <v>93</v>
      </c>
      <c r="D65" s="19" t="s">
        <v>266</v>
      </c>
      <c r="E65" s="19" t="str">
        <f t="shared" ref="E65" si="66">CONCATENATE(C65,D65,$A$1)</f>
        <v>ENGULF GHN1 pt. bottle Bundle EZ Mite SolutionPeriod 1</v>
      </c>
      <c r="F65" s="19" t="str">
        <f t="shared" ref="F65" si="67">CONCATENATE(C65,D65,$A$2)</f>
        <v>ENGULF GHN1 pt. bottle Bundle EZ Mite SolutionPeriod 2</v>
      </c>
      <c r="G65" s="23"/>
      <c r="H65" s="8">
        <v>0</v>
      </c>
      <c r="I65" s="77">
        <v>25</v>
      </c>
      <c r="J65" s="4">
        <f t="shared" ref="J65" si="68">G65*I65</f>
        <v>0</v>
      </c>
      <c r="K65" s="23">
        <v>25</v>
      </c>
      <c r="L65" s="8"/>
      <c r="M65" s="63">
        <f t="shared" ref="M65" si="69">K65*L65</f>
        <v>0</v>
      </c>
    </row>
    <row r="66" spans="1:13" x14ac:dyDescent="0.2">
      <c r="A66" s="59">
        <v>10591163</v>
      </c>
      <c r="B66" s="3" t="s">
        <v>31</v>
      </c>
      <c r="C66" s="19" t="s">
        <v>81</v>
      </c>
      <c r="D66" s="19" t="s">
        <v>110</v>
      </c>
      <c r="E66" s="19" t="str">
        <f t="shared" si="6"/>
        <v>GNATROL WDG16 lb. pailPeriod 1</v>
      </c>
      <c r="F66" s="19" t="str">
        <f t="shared" si="7"/>
        <v>GNATROL WDG16 lb. pailPeriod 2</v>
      </c>
      <c r="G66" s="23">
        <v>16</v>
      </c>
      <c r="H66" s="8">
        <v>0</v>
      </c>
      <c r="I66" s="8">
        <v>0</v>
      </c>
      <c r="J66" s="4">
        <f t="shared" si="44"/>
        <v>0</v>
      </c>
      <c r="K66" s="23">
        <v>8</v>
      </c>
      <c r="L66" s="8">
        <v>0</v>
      </c>
      <c r="M66" s="63">
        <f t="shared" si="45"/>
        <v>0</v>
      </c>
    </row>
    <row r="67" spans="1:13" x14ac:dyDescent="0.2">
      <c r="A67" s="59">
        <v>10666432</v>
      </c>
      <c r="B67" s="3" t="s">
        <v>32</v>
      </c>
      <c r="C67" s="19" t="s">
        <v>88</v>
      </c>
      <c r="D67" s="19" t="s">
        <v>109</v>
      </c>
      <c r="E67" s="19" t="str">
        <f t="shared" si="6"/>
        <v>MINX 21 qt. bottlePeriod 1</v>
      </c>
      <c r="F67" s="19" t="str">
        <f t="shared" si="7"/>
        <v>MINX 21 qt. bottlePeriod 2</v>
      </c>
      <c r="G67" s="23">
        <v>5</v>
      </c>
      <c r="H67" s="8">
        <v>0</v>
      </c>
      <c r="I67" s="8">
        <v>0</v>
      </c>
      <c r="J67" s="4">
        <f t="shared" si="44"/>
        <v>0</v>
      </c>
      <c r="K67" s="23">
        <v>2</v>
      </c>
      <c r="L67" s="8">
        <v>0</v>
      </c>
      <c r="M67" s="63">
        <f t="shared" si="45"/>
        <v>0</v>
      </c>
    </row>
    <row r="68" spans="1:13" x14ac:dyDescent="0.2">
      <c r="A68" s="59">
        <v>10666041</v>
      </c>
      <c r="B68" s="3" t="s">
        <v>33</v>
      </c>
      <c r="C68" s="19" t="s">
        <v>88</v>
      </c>
      <c r="D68" s="19" t="s">
        <v>111</v>
      </c>
      <c r="E68" s="19" t="str">
        <f t="shared" si="6"/>
        <v>MINX 21 gal. bottlePeriod 1</v>
      </c>
      <c r="F68" s="19" t="str">
        <f t="shared" si="7"/>
        <v>MINX 21 gal. bottlePeriod 2</v>
      </c>
      <c r="G68" s="23">
        <v>20</v>
      </c>
      <c r="H68" s="8">
        <v>0</v>
      </c>
      <c r="I68" s="8">
        <v>0</v>
      </c>
      <c r="J68" s="4">
        <f t="shared" si="44"/>
        <v>0</v>
      </c>
      <c r="K68" s="23">
        <v>6</v>
      </c>
      <c r="L68" s="8">
        <v>0</v>
      </c>
      <c r="M68" s="63">
        <f t="shared" si="45"/>
        <v>0</v>
      </c>
    </row>
    <row r="69" spans="1:13" x14ac:dyDescent="0.2">
      <c r="A69" s="59">
        <v>10666041</v>
      </c>
      <c r="B69" s="3" t="s">
        <v>33</v>
      </c>
      <c r="C69" s="19" t="s">
        <v>88</v>
      </c>
      <c r="D69" s="19" t="s">
        <v>267</v>
      </c>
      <c r="E69" s="19" t="str">
        <f t="shared" ref="E69" si="70">CONCATENATE(C69,D69,$A$1)</f>
        <v>MINX 21 gal. bottle Bundle EZ Mite SolutionPeriod 1</v>
      </c>
      <c r="F69" s="19" t="str">
        <f t="shared" ref="F69" si="71">CONCATENATE(C69,D69,$A$2)</f>
        <v>MINX 21 gal. bottle Bundle EZ Mite SolutionPeriod 2</v>
      </c>
      <c r="G69" s="23"/>
      <c r="H69" s="8">
        <v>0</v>
      </c>
      <c r="I69" s="77">
        <v>35</v>
      </c>
      <c r="J69" s="4">
        <f t="shared" ref="J69" si="72">G69*I69</f>
        <v>0</v>
      </c>
      <c r="K69" s="23">
        <v>35</v>
      </c>
      <c r="L69" s="8">
        <v>0</v>
      </c>
      <c r="M69" s="63">
        <f t="shared" ref="M69" si="73">K69*L69</f>
        <v>0</v>
      </c>
    </row>
    <row r="70" spans="1:13" x14ac:dyDescent="0.2">
      <c r="A70" s="59">
        <v>10666041</v>
      </c>
      <c r="B70" s="3" t="s">
        <v>33</v>
      </c>
      <c r="C70" s="19" t="s">
        <v>88</v>
      </c>
      <c r="D70" s="19" t="s">
        <v>268</v>
      </c>
      <c r="E70" s="19" t="str">
        <f t="shared" ref="E70" si="74">CONCATENATE(C70,D70,$A$1)</f>
        <v>MINX 21 gal. bottle Bundle EZ Thrips SolutionPeriod 1</v>
      </c>
      <c r="F70" s="19" t="str">
        <f t="shared" ref="F70" si="75">CONCATENATE(C70,D70,$A$2)</f>
        <v>MINX 21 gal. bottle Bundle EZ Thrips SolutionPeriod 2</v>
      </c>
      <c r="G70" s="23"/>
      <c r="H70" s="8">
        <v>0</v>
      </c>
      <c r="I70" s="77">
        <v>35</v>
      </c>
      <c r="J70" s="4">
        <f t="shared" ref="J70" si="76">G70*I70</f>
        <v>0</v>
      </c>
      <c r="K70" s="23">
        <v>35</v>
      </c>
      <c r="L70" s="8">
        <v>0</v>
      </c>
      <c r="M70" s="63">
        <f t="shared" ref="M70" si="77">K70*L70</f>
        <v>0</v>
      </c>
    </row>
    <row r="71" spans="1:13" x14ac:dyDescent="0.2">
      <c r="A71" s="59">
        <v>10592882</v>
      </c>
      <c r="B71" s="3" t="s">
        <v>34</v>
      </c>
      <c r="C71" s="19" t="s">
        <v>82</v>
      </c>
      <c r="D71" s="19" t="s">
        <v>101</v>
      </c>
      <c r="E71" s="19" t="str">
        <f t="shared" si="6"/>
        <v>OVERTURE 35 WP1 lb. bagPeriod 1</v>
      </c>
      <c r="F71" s="19" t="str">
        <f t="shared" si="7"/>
        <v>OVERTURE 35 WP1 lb. bagPeriod 2</v>
      </c>
      <c r="G71" s="23">
        <v>6</v>
      </c>
      <c r="H71" s="8">
        <v>0</v>
      </c>
      <c r="I71" s="8">
        <v>0</v>
      </c>
      <c r="J71" s="4">
        <f t="shared" si="44"/>
        <v>0</v>
      </c>
      <c r="K71" s="23">
        <v>2</v>
      </c>
      <c r="L71" s="8">
        <v>0</v>
      </c>
      <c r="M71" s="63">
        <f t="shared" si="45"/>
        <v>0</v>
      </c>
    </row>
    <row r="72" spans="1:13" x14ac:dyDescent="0.2">
      <c r="A72" s="59">
        <v>10592882</v>
      </c>
      <c r="B72" s="3" t="s">
        <v>34</v>
      </c>
      <c r="C72" s="19" t="s">
        <v>82</v>
      </c>
      <c r="D72" s="19" t="s">
        <v>269</v>
      </c>
      <c r="E72" s="19" t="str">
        <f t="shared" ref="E72" si="78">CONCATENATE(C72,D72,$A$1)</f>
        <v>OVERTURE 35 WP1 lb. bag Bundle EZ Thrips SolutionPeriod 1</v>
      </c>
      <c r="F72" s="19" t="str">
        <f t="shared" ref="F72" si="79">CONCATENATE(C72,D72,$A$2)</f>
        <v>OVERTURE 35 WP1 lb. bag Bundle EZ Thrips SolutionPeriod 2</v>
      </c>
      <c r="G72" s="23"/>
      <c r="H72" s="8">
        <v>0</v>
      </c>
      <c r="I72" s="77">
        <v>9</v>
      </c>
      <c r="J72" s="4">
        <f t="shared" ref="J72" si="80">G72*I72</f>
        <v>0</v>
      </c>
      <c r="K72" s="23">
        <v>9</v>
      </c>
      <c r="L72" s="8">
        <v>0</v>
      </c>
      <c r="M72" s="63">
        <f t="shared" ref="M72" si="81">K72*L72</f>
        <v>0</v>
      </c>
    </row>
    <row r="73" spans="1:13" x14ac:dyDescent="0.2">
      <c r="A73" s="59">
        <v>10594164</v>
      </c>
      <c r="B73" s="3" t="s">
        <v>35</v>
      </c>
      <c r="C73" s="19" t="s">
        <v>83</v>
      </c>
      <c r="D73" s="19" t="s">
        <v>112</v>
      </c>
      <c r="E73" s="19" t="str">
        <f t="shared" si="6"/>
        <v>SAFARI 20 SG12 wt oz. bottlePeriod 1</v>
      </c>
      <c r="F73" s="19" t="str">
        <f t="shared" si="7"/>
        <v>SAFARI 20 SG12 wt oz. bottlePeriod 2</v>
      </c>
      <c r="G73" s="23">
        <v>10</v>
      </c>
      <c r="H73" s="8">
        <v>0</v>
      </c>
      <c r="I73" s="8">
        <v>0</v>
      </c>
      <c r="J73" s="4">
        <f t="shared" si="44"/>
        <v>0</v>
      </c>
      <c r="K73" s="23">
        <v>3</v>
      </c>
      <c r="L73" s="8">
        <v>0</v>
      </c>
      <c r="M73" s="63">
        <f t="shared" si="45"/>
        <v>0</v>
      </c>
    </row>
    <row r="74" spans="1:13" x14ac:dyDescent="0.2">
      <c r="A74" s="59">
        <v>10594403</v>
      </c>
      <c r="B74" s="3" t="s">
        <v>36</v>
      </c>
      <c r="C74" s="19" t="s">
        <v>83</v>
      </c>
      <c r="D74" s="19" t="s">
        <v>123</v>
      </c>
      <c r="E74" s="19" t="str">
        <f t="shared" ref="E74" si="82">CONCATENATE(C74,D74,$A$1)</f>
        <v>SAFARI 20 SG3 lb. bottlePeriod 1</v>
      </c>
      <c r="F74" s="19" t="str">
        <f t="shared" ref="F74" si="83">CONCATENATE(C74,D74,$A$2)</f>
        <v>SAFARI 20 SG3 lb. bottlePeriod 2</v>
      </c>
      <c r="G74" s="23">
        <v>50</v>
      </c>
      <c r="H74" s="8">
        <v>0</v>
      </c>
      <c r="I74" s="8">
        <v>0</v>
      </c>
      <c r="J74" s="4">
        <f t="shared" ref="J74" si="84">G74*I74</f>
        <v>0</v>
      </c>
      <c r="K74" s="23">
        <v>12</v>
      </c>
      <c r="L74" s="8">
        <v>0</v>
      </c>
      <c r="M74" s="63">
        <f t="shared" ref="M74" si="85">K74*L74</f>
        <v>0</v>
      </c>
    </row>
    <row r="75" spans="1:13" x14ac:dyDescent="0.2">
      <c r="A75" s="59">
        <v>10594403</v>
      </c>
      <c r="B75" s="3" t="s">
        <v>36</v>
      </c>
      <c r="C75" s="19" t="s">
        <v>83</v>
      </c>
      <c r="D75" s="19" t="s">
        <v>318</v>
      </c>
      <c r="E75" s="19" t="str">
        <f t="shared" si="6"/>
        <v>SAFARI 20 SG3 lb. bottle Volume 4+Period 1</v>
      </c>
      <c r="F75" s="19" t="str">
        <f t="shared" si="7"/>
        <v>SAFARI 20 SG3 lb. bottle Volume 4+Period 2</v>
      </c>
      <c r="G75" s="23"/>
      <c r="H75" s="23">
        <v>100</v>
      </c>
      <c r="I75" s="8">
        <v>0</v>
      </c>
      <c r="J75" s="4">
        <f t="shared" si="44"/>
        <v>0</v>
      </c>
      <c r="K75" s="23">
        <v>12</v>
      </c>
      <c r="L75" s="8">
        <v>0</v>
      </c>
      <c r="M75" s="63">
        <f t="shared" si="45"/>
        <v>0</v>
      </c>
    </row>
    <row r="76" spans="1:13" x14ac:dyDescent="0.2">
      <c r="A76" s="59">
        <v>10598121</v>
      </c>
      <c r="B76" s="3" t="s">
        <v>37</v>
      </c>
      <c r="C76" s="19" t="s">
        <v>85</v>
      </c>
      <c r="D76" s="19" t="s">
        <v>109</v>
      </c>
      <c r="E76" s="19" t="str">
        <f t="shared" si="6"/>
        <v>TAME 2.4 EC SPRAY1 qt. bottlePeriod 1</v>
      </c>
      <c r="F76" s="19" t="str">
        <f t="shared" si="7"/>
        <v>TAME 2.4 EC SPRAY1 qt. bottlePeriod 2</v>
      </c>
      <c r="G76" s="23">
        <v>4</v>
      </c>
      <c r="H76" s="8">
        <v>0</v>
      </c>
      <c r="I76" s="8">
        <v>0</v>
      </c>
      <c r="J76" s="4">
        <f t="shared" si="44"/>
        <v>0</v>
      </c>
      <c r="K76" s="23">
        <v>2</v>
      </c>
      <c r="L76" s="8">
        <v>0</v>
      </c>
      <c r="M76" s="63">
        <f t="shared" si="45"/>
        <v>0</v>
      </c>
    </row>
    <row r="77" spans="1:13" x14ac:dyDescent="0.2">
      <c r="A77" s="59">
        <v>10599882</v>
      </c>
      <c r="B77" s="3" t="s">
        <v>38</v>
      </c>
      <c r="C77" s="19" t="s">
        <v>86</v>
      </c>
      <c r="D77" s="19" t="s">
        <v>101</v>
      </c>
      <c r="E77" s="19" t="str">
        <f t="shared" si="6"/>
        <v>TETRASAN 5 WDG1 lb. bagPeriod 1</v>
      </c>
      <c r="F77" s="19" t="str">
        <f t="shared" si="7"/>
        <v>TETRASAN 5 WDG1 lb. bagPeriod 2</v>
      </c>
      <c r="G77" s="23">
        <v>10</v>
      </c>
      <c r="H77" s="8">
        <v>0</v>
      </c>
      <c r="I77" s="8">
        <v>0</v>
      </c>
      <c r="J77" s="4">
        <f t="shared" si="44"/>
        <v>0</v>
      </c>
      <c r="K77" s="23">
        <v>3</v>
      </c>
      <c r="L77" s="8">
        <v>0</v>
      </c>
      <c r="M77" s="63">
        <f t="shared" si="45"/>
        <v>0</v>
      </c>
    </row>
    <row r="78" spans="1:13" x14ac:dyDescent="0.2">
      <c r="A78" s="59">
        <v>10599882</v>
      </c>
      <c r="B78" s="3" t="s">
        <v>38</v>
      </c>
      <c r="C78" s="19" t="s">
        <v>86</v>
      </c>
      <c r="D78" s="19" t="s">
        <v>234</v>
      </c>
      <c r="E78" s="19" t="str">
        <f t="shared" ref="E78:E79" si="86">CONCATENATE(C78,D78,$A$1)</f>
        <v>TETRASAN 5 WDG1 lb. bag Volume 8+Period 1</v>
      </c>
      <c r="F78" s="19" t="str">
        <f t="shared" ref="F78:F79" si="87">CONCATENATE(C78,D78,$A$2)</f>
        <v>TETRASAN 5 WDG1 lb. bag Volume 8+Period 2</v>
      </c>
      <c r="G78" s="23"/>
      <c r="H78" s="77">
        <v>15</v>
      </c>
      <c r="I78" s="8">
        <v>0</v>
      </c>
      <c r="J78" s="4">
        <f t="shared" ref="J78:J79" si="88">G78*I78</f>
        <v>0</v>
      </c>
      <c r="K78" s="23">
        <v>3</v>
      </c>
      <c r="L78" s="8">
        <v>0</v>
      </c>
      <c r="M78" s="63">
        <f t="shared" ref="M78:M79" si="89">K78*L78</f>
        <v>0</v>
      </c>
    </row>
    <row r="79" spans="1:13" x14ac:dyDescent="0.2">
      <c r="A79" s="59">
        <v>10599882</v>
      </c>
      <c r="B79" s="3" t="s">
        <v>38</v>
      </c>
      <c r="C79" s="19" t="s">
        <v>86</v>
      </c>
      <c r="D79" s="19" t="s">
        <v>270</v>
      </c>
      <c r="E79" s="19" t="str">
        <f t="shared" si="86"/>
        <v>TETRASAN 5 WDG1 lb. bag Bundle EZ Mite SolutionPeriod 1</v>
      </c>
      <c r="F79" s="19" t="str">
        <f t="shared" si="87"/>
        <v>TETRASAN 5 WDG1 lb. bag Bundle EZ Mite SolutionPeriod 2</v>
      </c>
      <c r="G79" s="23"/>
      <c r="H79" s="8">
        <v>0</v>
      </c>
      <c r="I79" s="77">
        <v>15</v>
      </c>
      <c r="J79" s="4">
        <f t="shared" si="88"/>
        <v>0</v>
      </c>
      <c r="K79" s="23">
        <v>15</v>
      </c>
      <c r="L79" s="8">
        <v>0</v>
      </c>
      <c r="M79" s="63">
        <f t="shared" si="89"/>
        <v>0</v>
      </c>
    </row>
    <row r="80" spans="1:13" x14ac:dyDescent="0.2">
      <c r="A80" s="59">
        <v>10520432</v>
      </c>
      <c r="B80" s="3" t="s">
        <v>39</v>
      </c>
      <c r="C80" s="19" t="s">
        <v>71</v>
      </c>
      <c r="D80" s="19" t="s">
        <v>109</v>
      </c>
      <c r="E80" s="19" t="str">
        <f t="shared" si="6"/>
        <v>TRISTAR 8.5 SL1 qt. bottlePeriod 1</v>
      </c>
      <c r="F80" s="19" t="str">
        <f t="shared" si="7"/>
        <v>TRISTAR 8.5 SL1 qt. bottlePeriod 2</v>
      </c>
      <c r="G80" s="23">
        <v>20</v>
      </c>
      <c r="H80" s="8">
        <v>0</v>
      </c>
      <c r="I80" s="8">
        <v>0</v>
      </c>
      <c r="J80" s="4">
        <f t="shared" si="44"/>
        <v>0</v>
      </c>
      <c r="K80" s="23">
        <v>5</v>
      </c>
      <c r="L80" s="8">
        <v>0</v>
      </c>
      <c r="M80" s="63">
        <f t="shared" si="45"/>
        <v>0</v>
      </c>
    </row>
    <row r="81" spans="1:13" x14ac:dyDescent="0.2">
      <c r="A81" s="59">
        <v>10520041</v>
      </c>
      <c r="B81" s="3" t="s">
        <v>40</v>
      </c>
      <c r="C81" s="19" t="s">
        <v>71</v>
      </c>
      <c r="D81" s="19" t="s">
        <v>111</v>
      </c>
      <c r="E81" s="19" t="str">
        <f t="shared" si="6"/>
        <v>TRISTAR 8.5 SL1 gal. bottlePeriod 1</v>
      </c>
      <c r="F81" s="19" t="str">
        <f t="shared" si="7"/>
        <v>TRISTAR 8.5 SL1 gal. bottlePeriod 2</v>
      </c>
      <c r="G81" s="23">
        <v>100</v>
      </c>
      <c r="H81" s="8">
        <v>0</v>
      </c>
      <c r="I81" s="8">
        <v>0</v>
      </c>
      <c r="J81" s="4">
        <f t="shared" si="44"/>
        <v>0</v>
      </c>
      <c r="K81" s="23">
        <v>20</v>
      </c>
      <c r="L81" s="8">
        <v>0</v>
      </c>
      <c r="M81" s="63">
        <f t="shared" si="45"/>
        <v>0</v>
      </c>
    </row>
    <row r="82" spans="1:13" x14ac:dyDescent="0.2">
      <c r="A82" s="59">
        <v>10520041</v>
      </c>
      <c r="B82" s="3" t="s">
        <v>40</v>
      </c>
      <c r="C82" s="19" t="s">
        <v>71</v>
      </c>
      <c r="D82" s="19" t="s">
        <v>268</v>
      </c>
      <c r="E82" s="19" t="str">
        <f t="shared" ref="E82" si="90">CONCATENATE(C82,D82,$A$1)</f>
        <v>TRISTAR 8.5 SL1 gal. bottle Bundle EZ Thrips SolutionPeriod 1</v>
      </c>
      <c r="F82" s="19" t="str">
        <f t="shared" ref="F82" si="91">CONCATENATE(C82,D82,$A$2)</f>
        <v>TRISTAR 8.5 SL1 gal. bottle Bundle EZ Thrips SolutionPeriod 2</v>
      </c>
      <c r="G82" s="23"/>
      <c r="H82" s="8">
        <v>0</v>
      </c>
      <c r="I82" s="77">
        <v>115</v>
      </c>
      <c r="J82" s="4">
        <f t="shared" ref="J82" si="92">G82*I82</f>
        <v>0</v>
      </c>
      <c r="K82" s="23">
        <v>115</v>
      </c>
      <c r="L82" s="8">
        <v>0</v>
      </c>
      <c r="M82" s="63">
        <f t="shared" ref="M82" si="93">K82*L82</f>
        <v>0</v>
      </c>
    </row>
    <row r="83" spans="1:13" s="2" customFormat="1" x14ac:dyDescent="0.2">
      <c r="A83" s="59"/>
      <c r="B83" s="1" t="s">
        <v>41</v>
      </c>
      <c r="C83" s="18" t="s">
        <v>41</v>
      </c>
      <c r="D83" s="19"/>
      <c r="E83" s="19" t="str">
        <f t="shared" si="6"/>
        <v>FungicidesPeriod 1</v>
      </c>
      <c r="F83" s="19" t="str">
        <f t="shared" si="7"/>
        <v>FungicidesPeriod 2</v>
      </c>
      <c r="G83" s="24"/>
      <c r="H83" s="10"/>
      <c r="I83" s="7"/>
      <c r="J83" s="4"/>
      <c r="K83" s="24"/>
      <c r="L83" s="7"/>
      <c r="M83" s="63"/>
    </row>
    <row r="84" spans="1:13" x14ac:dyDescent="0.2">
      <c r="A84" s="59">
        <v>10502225</v>
      </c>
      <c r="B84" s="3" t="s">
        <v>42</v>
      </c>
      <c r="C84" s="19" t="s">
        <v>70</v>
      </c>
      <c r="D84" s="19" t="s">
        <v>96</v>
      </c>
      <c r="E84" s="19" t="str">
        <f t="shared" si="6"/>
        <v>26/362.5 gal. bottlePeriod 1</v>
      </c>
      <c r="F84" s="19" t="str">
        <f t="shared" si="7"/>
        <v>26/362.5 gal. bottlePeriod 2</v>
      </c>
      <c r="G84" s="23">
        <v>20</v>
      </c>
      <c r="H84" s="8">
        <v>0</v>
      </c>
      <c r="I84" s="8">
        <v>0</v>
      </c>
      <c r="J84" s="4">
        <f t="shared" ref="J84:J111" si="94">G84*I84</f>
        <v>0</v>
      </c>
      <c r="K84" s="23">
        <v>10</v>
      </c>
      <c r="L84" s="8">
        <v>0</v>
      </c>
      <c r="M84" s="63">
        <f t="shared" ref="M84:M111" si="95">K84*L84</f>
        <v>0</v>
      </c>
    </row>
    <row r="85" spans="1:13" x14ac:dyDescent="0.2">
      <c r="A85" s="59">
        <v>10502225</v>
      </c>
      <c r="B85" s="3" t="s">
        <v>42</v>
      </c>
      <c r="C85" s="19" t="s">
        <v>70</v>
      </c>
      <c r="D85" s="19" t="s">
        <v>260</v>
      </c>
      <c r="E85" s="19" t="str">
        <f t="shared" ref="E85" si="96">CONCATENATE(C85,D85,$A$1)</f>
        <v>26/362.5 gal. bottle Bundle 4Period 1</v>
      </c>
      <c r="F85" s="19" t="str">
        <f t="shared" ref="F85" si="97">CONCATENATE(C85,D85,$A$2)</f>
        <v>26/362.5 gal. bottle Bundle 4Period 2</v>
      </c>
      <c r="G85" s="23"/>
      <c r="H85" s="8">
        <v>0</v>
      </c>
      <c r="I85" s="77">
        <v>30</v>
      </c>
      <c r="J85" s="4">
        <f t="shared" ref="J85" si="98">G85*I85</f>
        <v>0</v>
      </c>
      <c r="K85" s="23">
        <v>30</v>
      </c>
      <c r="L85" s="8">
        <v>0</v>
      </c>
      <c r="M85" s="63">
        <f t="shared" ref="M85" si="99">K85*L85</f>
        <v>0</v>
      </c>
    </row>
    <row r="86" spans="1:13" x14ac:dyDescent="0.2">
      <c r="A86" s="59">
        <v>10556045</v>
      </c>
      <c r="B86" s="3" t="s">
        <v>43</v>
      </c>
      <c r="C86" s="19" t="s">
        <v>73</v>
      </c>
      <c r="D86" s="19" t="s">
        <v>124</v>
      </c>
      <c r="E86" s="19" t="str">
        <f t="shared" si="6"/>
        <v>3336 EG5 lb. bottlePeriod 1</v>
      </c>
      <c r="F86" s="19" t="str">
        <f t="shared" si="7"/>
        <v>3336 EG5 lb. bottlePeriod 2</v>
      </c>
      <c r="G86" s="23">
        <v>10</v>
      </c>
      <c r="H86" s="8">
        <v>0</v>
      </c>
      <c r="I86" s="8">
        <v>0</v>
      </c>
      <c r="J86" s="4">
        <f t="shared" si="94"/>
        <v>0</v>
      </c>
      <c r="K86" s="23">
        <v>3</v>
      </c>
      <c r="L86" s="8">
        <v>0</v>
      </c>
      <c r="M86" s="63">
        <f t="shared" si="95"/>
        <v>0</v>
      </c>
    </row>
    <row r="87" spans="1:13" x14ac:dyDescent="0.2">
      <c r="A87" s="59">
        <v>10498121</v>
      </c>
      <c r="B87" s="3" t="s">
        <v>44</v>
      </c>
      <c r="C87" s="19" t="s">
        <v>67</v>
      </c>
      <c r="D87" s="19" t="s">
        <v>109</v>
      </c>
      <c r="E87" s="19" t="str">
        <f t="shared" si="6"/>
        <v>3336 F1 qt. bottlePeriod 1</v>
      </c>
      <c r="F87" s="19" t="str">
        <f t="shared" si="7"/>
        <v>3336 F1 qt. bottlePeriod 2</v>
      </c>
      <c r="G87" s="23">
        <v>3</v>
      </c>
      <c r="H87" s="8">
        <v>0</v>
      </c>
      <c r="I87" s="8">
        <v>0</v>
      </c>
      <c r="J87" s="4">
        <f t="shared" si="94"/>
        <v>0</v>
      </c>
      <c r="K87" s="23">
        <v>1</v>
      </c>
      <c r="L87" s="8">
        <v>0</v>
      </c>
      <c r="M87" s="63">
        <f t="shared" si="95"/>
        <v>0</v>
      </c>
    </row>
    <row r="88" spans="1:13" x14ac:dyDescent="0.2">
      <c r="A88" s="59">
        <v>10498225</v>
      </c>
      <c r="B88" s="14" t="s">
        <v>170</v>
      </c>
      <c r="C88" s="31" t="s">
        <v>67</v>
      </c>
      <c r="D88" s="31" t="s">
        <v>96</v>
      </c>
      <c r="E88" s="31" t="str">
        <f t="shared" si="6"/>
        <v>3336 F2.5 gal. bottlePeriod 1</v>
      </c>
      <c r="F88" s="31" t="str">
        <f t="shared" si="7"/>
        <v>3336 F2.5 gal. bottlePeriod 2</v>
      </c>
      <c r="G88" s="23">
        <v>30</v>
      </c>
      <c r="H88" s="23"/>
      <c r="I88" s="8">
        <v>0</v>
      </c>
      <c r="J88" s="4">
        <f t="shared" si="94"/>
        <v>0</v>
      </c>
      <c r="K88" s="23">
        <v>10</v>
      </c>
      <c r="L88" s="8">
        <v>0</v>
      </c>
      <c r="M88" s="63">
        <f t="shared" si="95"/>
        <v>0</v>
      </c>
    </row>
    <row r="89" spans="1:13" x14ac:dyDescent="0.2">
      <c r="A89" s="59">
        <v>10498225</v>
      </c>
      <c r="B89" s="14" t="s">
        <v>170</v>
      </c>
      <c r="C89" s="31" t="s">
        <v>67</v>
      </c>
      <c r="D89" s="31" t="s">
        <v>263</v>
      </c>
      <c r="E89" s="31" t="str">
        <f t="shared" ref="E89" si="100">CONCATENATE(C89,D89,$A$1)</f>
        <v>3336 F2.5 gal. bottle Bundle EZ Greenhouse Disease SolutionPeriod 1</v>
      </c>
      <c r="F89" s="31" t="str">
        <f t="shared" ref="F89" si="101">CONCATENATE(C89,D89,$A$2)</f>
        <v>3336 F2.5 gal. bottle Bundle EZ Greenhouse Disease SolutionPeriod 2</v>
      </c>
      <c r="G89" s="23"/>
      <c r="H89" s="23"/>
      <c r="I89" s="77">
        <v>50</v>
      </c>
      <c r="J89" s="4">
        <f t="shared" ref="J89" si="102">G89*I89</f>
        <v>0</v>
      </c>
      <c r="K89" s="23">
        <v>50</v>
      </c>
      <c r="L89" s="8">
        <v>0</v>
      </c>
      <c r="M89" s="63">
        <f t="shared" ref="M89" si="103">K89*L89</f>
        <v>0</v>
      </c>
    </row>
    <row r="90" spans="1:13" x14ac:dyDescent="0.2">
      <c r="A90" s="59">
        <v>10498225</v>
      </c>
      <c r="B90" s="14" t="s">
        <v>170</v>
      </c>
      <c r="C90" s="31" t="s">
        <v>67</v>
      </c>
      <c r="D90" s="31" t="s">
        <v>273</v>
      </c>
      <c r="E90" s="31" t="str">
        <f t="shared" ref="E90" si="104">CONCATENATE(C90,D90,$A$1)</f>
        <v>3336 F2.5 gal. bottle Bundle EZ Nursery Weed &amp; Disease SolutionPeriod 1</v>
      </c>
      <c r="F90" s="31" t="str">
        <f t="shared" ref="F90" si="105">CONCATENATE(C90,D90,$A$2)</f>
        <v>3336 F2.5 gal. bottle Bundle EZ Nursery Weed &amp; Disease SolutionPeriod 2</v>
      </c>
      <c r="G90" s="23"/>
      <c r="H90" s="23"/>
      <c r="I90" s="77">
        <v>50</v>
      </c>
      <c r="J90" s="4">
        <f t="shared" ref="J90" si="106">G90*I90</f>
        <v>0</v>
      </c>
      <c r="K90" s="23">
        <v>50</v>
      </c>
      <c r="L90" s="8">
        <v>0</v>
      </c>
      <c r="M90" s="63">
        <f t="shared" ref="M90" si="107">K90*L90</f>
        <v>0</v>
      </c>
    </row>
    <row r="91" spans="1:13" x14ac:dyDescent="0.2">
      <c r="A91" s="59">
        <v>10495032</v>
      </c>
      <c r="B91" s="3" t="s">
        <v>45</v>
      </c>
      <c r="C91" s="19" t="s">
        <v>66</v>
      </c>
      <c r="D91" s="19" t="s">
        <v>107</v>
      </c>
      <c r="E91" s="19" t="str">
        <f t="shared" si="6"/>
        <v>3336 DG LITE30 lb. bagPeriod 1</v>
      </c>
      <c r="F91" s="19" t="str">
        <f t="shared" si="7"/>
        <v>3336 DG LITE30 lb. bagPeriod 2</v>
      </c>
      <c r="G91" s="23">
        <v>3</v>
      </c>
      <c r="H91" s="8">
        <v>0</v>
      </c>
      <c r="I91" s="8">
        <v>0</v>
      </c>
      <c r="J91" s="4">
        <f t="shared" si="94"/>
        <v>0</v>
      </c>
      <c r="K91" s="23">
        <v>1</v>
      </c>
      <c r="L91" s="8">
        <v>0</v>
      </c>
      <c r="M91" s="63">
        <f t="shared" si="95"/>
        <v>0</v>
      </c>
    </row>
    <row r="92" spans="1:13" x14ac:dyDescent="0.2">
      <c r="A92" s="59">
        <v>10579121</v>
      </c>
      <c r="B92" s="3" t="s">
        <v>46</v>
      </c>
      <c r="C92" s="19" t="s">
        <v>74</v>
      </c>
      <c r="D92" s="19" t="s">
        <v>109</v>
      </c>
      <c r="E92" s="19" t="str">
        <f t="shared" si="6"/>
        <v>ADORN1 qt. bottlePeriod 1</v>
      </c>
      <c r="F92" s="19" t="str">
        <f t="shared" si="7"/>
        <v>ADORN1 qt. bottlePeriod 2</v>
      </c>
      <c r="G92" s="23">
        <v>15</v>
      </c>
      <c r="H92" s="8">
        <v>0</v>
      </c>
      <c r="I92" s="8">
        <v>0</v>
      </c>
      <c r="J92" s="4">
        <f t="shared" si="94"/>
        <v>0</v>
      </c>
      <c r="K92" s="23">
        <v>4</v>
      </c>
      <c r="L92" s="8">
        <v>0</v>
      </c>
      <c r="M92" s="63">
        <f t="shared" si="95"/>
        <v>0</v>
      </c>
    </row>
    <row r="93" spans="1:13" x14ac:dyDescent="0.2">
      <c r="A93" s="59">
        <v>10500324</v>
      </c>
      <c r="B93" s="3" t="s">
        <v>47</v>
      </c>
      <c r="C93" s="19" t="s">
        <v>68</v>
      </c>
      <c r="D93" s="19" t="s">
        <v>114</v>
      </c>
      <c r="E93" s="19" t="str">
        <f t="shared" si="6"/>
        <v>AFFIRM WDG2.4 lb. bagPeriod 1</v>
      </c>
      <c r="F93" s="19" t="str">
        <f t="shared" si="7"/>
        <v>AFFIRM WDG2.4 lb. bagPeriod 2</v>
      </c>
      <c r="G93" s="23">
        <v>10</v>
      </c>
      <c r="H93" s="8">
        <v>0</v>
      </c>
      <c r="I93" s="8">
        <v>0</v>
      </c>
      <c r="J93" s="4">
        <f t="shared" si="94"/>
        <v>0</v>
      </c>
      <c r="K93" s="23">
        <v>5</v>
      </c>
      <c r="L93" s="8">
        <v>0</v>
      </c>
      <c r="M93" s="63">
        <f t="shared" si="95"/>
        <v>0</v>
      </c>
    </row>
    <row r="94" spans="1:13" x14ac:dyDescent="0.2">
      <c r="A94" s="59">
        <v>10500324</v>
      </c>
      <c r="B94" s="3" t="s">
        <v>47</v>
      </c>
      <c r="C94" s="19" t="s">
        <v>68</v>
      </c>
      <c r="D94" s="19" t="s">
        <v>264</v>
      </c>
      <c r="E94" s="19" t="str">
        <f t="shared" ref="E94" si="108">CONCATENATE(C94,D94,$A$1)</f>
        <v>AFFIRM WDG2.4 lb. bag Bundle EZ Greenhouse Disease SolutionPeriod 1</v>
      </c>
      <c r="F94" s="19" t="str">
        <f t="shared" ref="F94" si="109">CONCATENATE(C94,D94,$A$2)</f>
        <v>AFFIRM WDG2.4 lb. bag Bundle EZ Greenhouse Disease SolutionPeriod 2</v>
      </c>
      <c r="G94" s="23"/>
      <c r="H94" s="8">
        <v>0</v>
      </c>
      <c r="I94" s="77">
        <v>25</v>
      </c>
      <c r="J94" s="4">
        <f t="shared" ref="J94" si="110">G94*I94</f>
        <v>0</v>
      </c>
      <c r="K94" s="23">
        <v>25</v>
      </c>
      <c r="L94" s="8">
        <v>0</v>
      </c>
      <c r="M94" s="63">
        <f t="shared" ref="M94" si="111">K94*L94</f>
        <v>0</v>
      </c>
    </row>
    <row r="95" spans="1:13" x14ac:dyDescent="0.2">
      <c r="A95" s="59">
        <v>10560410</v>
      </c>
      <c r="B95" s="3" t="s">
        <v>324</v>
      </c>
      <c r="C95" s="19" t="s">
        <v>322</v>
      </c>
      <c r="D95" s="19" t="s">
        <v>323</v>
      </c>
      <c r="E95" s="19" t="str">
        <f t="shared" ref="E95" si="112">CONCATENATE(C95,D95,$A$1)</f>
        <v>CHAMPION++10 lb. bagPeriod 1</v>
      </c>
      <c r="F95" s="19" t="str">
        <f t="shared" ref="F95" si="113">CONCATENATE(C95,D95,$A$2)</f>
        <v>CHAMPION++10 lb. bagPeriod 2</v>
      </c>
      <c r="G95" s="23">
        <v>5</v>
      </c>
      <c r="H95" s="8"/>
      <c r="I95" s="8"/>
      <c r="J95" s="4">
        <f>G95*I95</f>
        <v>0</v>
      </c>
      <c r="K95" s="23">
        <v>3</v>
      </c>
      <c r="L95" s="8"/>
      <c r="M95" s="63">
        <f>K95*L95</f>
        <v>0</v>
      </c>
    </row>
    <row r="96" spans="1:13" x14ac:dyDescent="0.2">
      <c r="A96" s="59">
        <v>10702460</v>
      </c>
      <c r="B96" s="32" t="s">
        <v>239</v>
      </c>
      <c r="C96" s="33" t="s">
        <v>237</v>
      </c>
      <c r="D96" s="33" t="s">
        <v>115</v>
      </c>
      <c r="E96" s="33" t="str">
        <f t="shared" si="6"/>
        <v>PINPOINT60 fl oz. bottlePeriod 1</v>
      </c>
      <c r="F96" s="33" t="str">
        <f t="shared" si="7"/>
        <v>PINPOINT60 fl oz. bottlePeriod 2</v>
      </c>
      <c r="G96" s="34">
        <v>10</v>
      </c>
      <c r="H96" s="34"/>
      <c r="I96" s="35">
        <v>0</v>
      </c>
      <c r="J96" s="36">
        <f t="shared" si="94"/>
        <v>0</v>
      </c>
      <c r="K96" s="34">
        <v>5</v>
      </c>
      <c r="L96" s="35">
        <v>0</v>
      </c>
      <c r="M96" s="62">
        <f t="shared" si="95"/>
        <v>0</v>
      </c>
    </row>
    <row r="97" spans="1:13" x14ac:dyDescent="0.2">
      <c r="A97" s="59">
        <v>10702460</v>
      </c>
      <c r="B97" s="32" t="s">
        <v>239</v>
      </c>
      <c r="C97" s="33" t="s">
        <v>237</v>
      </c>
      <c r="D97" s="33" t="s">
        <v>240</v>
      </c>
      <c r="E97" s="33" t="str">
        <f t="shared" ref="E97" si="114">CONCATENATE(C97,D97,$A$1)</f>
        <v>PINPOINT60 fl oz. bottle Volume 8+Period 1</v>
      </c>
      <c r="F97" s="33" t="str">
        <f t="shared" ref="F97" si="115">CONCATENATE(C97,D97,$A$2)</f>
        <v>PINPOINT60 fl oz. bottle Volume 8+Period 2</v>
      </c>
      <c r="G97" s="34"/>
      <c r="H97" s="34">
        <v>30</v>
      </c>
      <c r="I97" s="35"/>
      <c r="J97" s="36"/>
      <c r="K97" s="34">
        <v>5</v>
      </c>
      <c r="L97" s="35"/>
      <c r="M97" s="62"/>
    </row>
    <row r="98" spans="1:13" x14ac:dyDescent="0.2">
      <c r="A98" s="59">
        <v>10501045</v>
      </c>
      <c r="B98" s="3" t="s">
        <v>48</v>
      </c>
      <c r="C98" s="19" t="s">
        <v>69</v>
      </c>
      <c r="D98" s="19" t="s">
        <v>113</v>
      </c>
      <c r="E98" s="19" t="str">
        <f t="shared" si="6"/>
        <v>SPECTRO 90 WDG5 lb. bagPeriod 1</v>
      </c>
      <c r="F98" s="19" t="str">
        <f t="shared" si="7"/>
        <v>SPECTRO 90 WDG5 lb. bagPeriod 2</v>
      </c>
      <c r="G98" s="23">
        <v>5</v>
      </c>
      <c r="H98" s="8">
        <v>0</v>
      </c>
      <c r="I98" s="8">
        <v>0</v>
      </c>
      <c r="J98" s="4">
        <f t="shared" si="94"/>
        <v>0</v>
      </c>
      <c r="K98" s="23">
        <v>2</v>
      </c>
      <c r="L98" s="8">
        <v>0</v>
      </c>
      <c r="M98" s="63">
        <f t="shared" si="95"/>
        <v>0</v>
      </c>
    </row>
    <row r="99" spans="1:13" x14ac:dyDescent="0.2">
      <c r="A99" s="59">
        <v>10726861</v>
      </c>
      <c r="B99" s="32" t="s">
        <v>49</v>
      </c>
      <c r="C99" s="33" t="s">
        <v>172</v>
      </c>
      <c r="D99" s="33" t="s">
        <v>105</v>
      </c>
      <c r="E99" s="33" t="str">
        <f t="shared" si="6"/>
        <v>SPIRATO GHN1 pt. bottlePeriod 1</v>
      </c>
      <c r="F99" s="33" t="str">
        <f t="shared" si="7"/>
        <v>SPIRATO GHN1 pt. bottlePeriod 2</v>
      </c>
      <c r="G99" s="34">
        <v>20</v>
      </c>
      <c r="H99" s="34"/>
      <c r="I99" s="35">
        <v>0</v>
      </c>
      <c r="J99" s="36">
        <f t="shared" si="94"/>
        <v>0</v>
      </c>
      <c r="K99" s="34">
        <v>5</v>
      </c>
      <c r="L99" s="35">
        <v>0</v>
      </c>
      <c r="M99" s="62">
        <f t="shared" si="95"/>
        <v>0</v>
      </c>
    </row>
    <row r="100" spans="1:13" x14ac:dyDescent="0.2">
      <c r="A100" s="59">
        <v>10726861</v>
      </c>
      <c r="B100" s="32" t="s">
        <v>49</v>
      </c>
      <c r="C100" s="33" t="s">
        <v>172</v>
      </c>
      <c r="D100" s="33" t="s">
        <v>241</v>
      </c>
      <c r="E100" s="33" t="str">
        <f t="shared" ref="E100:E101" si="116">CONCATENATE(C100,D100,$A$1)</f>
        <v>SPIRATO GHN1 pt. bottle Volume 8+Period 1</v>
      </c>
      <c r="F100" s="33" t="str">
        <f t="shared" ref="F100" si="117">CONCATENATE(C100,D100,$A$2)</f>
        <v>SPIRATO GHN1 pt. bottle Volume 8+Period 2</v>
      </c>
      <c r="G100" s="34"/>
      <c r="H100" s="34">
        <v>30</v>
      </c>
      <c r="I100" s="35"/>
      <c r="J100" s="36"/>
      <c r="K100" s="34">
        <v>5</v>
      </c>
      <c r="L100" s="35"/>
      <c r="M100" s="62"/>
    </row>
    <row r="101" spans="1:13" x14ac:dyDescent="0.2">
      <c r="A101" s="59">
        <v>10726861</v>
      </c>
      <c r="B101" s="32" t="s">
        <v>49</v>
      </c>
      <c r="C101" s="33" t="s">
        <v>172</v>
      </c>
      <c r="D101" s="33" t="s">
        <v>265</v>
      </c>
      <c r="E101" s="33" t="str">
        <f t="shared" si="116"/>
        <v>SPIRATO GHN1 pt. bottle Bundle EZ Greenhouse Disease SolutionPeriod 1</v>
      </c>
      <c r="F101" s="33" t="str">
        <f t="shared" ref="F101" si="118">CONCATENATE(C101,D101,$A$2)</f>
        <v>SPIRATO GHN1 pt. bottle Bundle EZ Greenhouse Disease SolutionPeriod 2</v>
      </c>
      <c r="G101" s="34"/>
      <c r="H101" s="35"/>
      <c r="I101" s="78">
        <v>30</v>
      </c>
      <c r="J101" s="36"/>
      <c r="K101" s="34">
        <v>30</v>
      </c>
      <c r="L101" s="35"/>
      <c r="M101" s="62"/>
    </row>
    <row r="102" spans="1:13" x14ac:dyDescent="0.2">
      <c r="A102" s="59">
        <v>10492051</v>
      </c>
      <c r="B102" s="3" t="s">
        <v>50</v>
      </c>
      <c r="C102" s="19" t="s">
        <v>65</v>
      </c>
      <c r="D102" s="19" t="s">
        <v>111</v>
      </c>
      <c r="E102" s="19" t="str">
        <f t="shared" si="6"/>
        <v>TORQUE1 gal. bottlePeriod 1</v>
      </c>
      <c r="F102" s="19" t="str">
        <f t="shared" si="7"/>
        <v>TORQUE1 gal. bottlePeriod 2</v>
      </c>
      <c r="G102" s="23">
        <v>8</v>
      </c>
      <c r="H102" s="8">
        <v>0</v>
      </c>
      <c r="I102" s="8">
        <v>0</v>
      </c>
      <c r="J102" s="4">
        <f t="shared" si="94"/>
        <v>0</v>
      </c>
      <c r="K102" s="23">
        <v>4</v>
      </c>
      <c r="L102" s="8">
        <v>0</v>
      </c>
      <c r="M102" s="63">
        <f t="shared" si="95"/>
        <v>0</v>
      </c>
    </row>
    <row r="103" spans="1:13" x14ac:dyDescent="0.2">
      <c r="A103" s="59">
        <v>10600045</v>
      </c>
      <c r="B103" s="14" t="s">
        <v>51</v>
      </c>
      <c r="C103" s="19" t="s">
        <v>87</v>
      </c>
      <c r="D103" s="19" t="s">
        <v>124</v>
      </c>
      <c r="E103" s="19" t="str">
        <f t="shared" si="6"/>
        <v>TOURNEY5 lb. bottlePeriod 1</v>
      </c>
      <c r="F103" s="19" t="str">
        <f t="shared" si="7"/>
        <v>TOURNEY5 lb. bottlePeriod 2</v>
      </c>
      <c r="G103" s="23">
        <v>260</v>
      </c>
      <c r="H103" s="8">
        <v>0</v>
      </c>
      <c r="I103" s="8">
        <v>0</v>
      </c>
      <c r="J103" s="4">
        <f t="shared" si="94"/>
        <v>0</v>
      </c>
      <c r="K103" s="23">
        <v>125</v>
      </c>
      <c r="L103" s="8">
        <v>0</v>
      </c>
      <c r="M103" s="63">
        <f t="shared" si="95"/>
        <v>0</v>
      </c>
    </row>
    <row r="104" spans="1:13" x14ac:dyDescent="0.2">
      <c r="A104" s="58">
        <v>10854861</v>
      </c>
      <c r="B104" s="32" t="s">
        <v>303</v>
      </c>
      <c r="C104" s="33" t="s">
        <v>174</v>
      </c>
      <c r="D104" s="33" t="s">
        <v>105</v>
      </c>
      <c r="E104" s="33" t="str">
        <f t="shared" si="6"/>
        <v>TOURNEY EZ1 pt. bottlePeriod 1</v>
      </c>
      <c r="F104" s="33" t="str">
        <f t="shared" si="7"/>
        <v>TOURNEY EZ1 pt. bottlePeriod 2</v>
      </c>
      <c r="G104" s="34">
        <v>12</v>
      </c>
      <c r="H104" s="34"/>
      <c r="I104" s="35">
        <v>0</v>
      </c>
      <c r="J104" s="36">
        <f t="shared" si="94"/>
        <v>0</v>
      </c>
      <c r="K104" s="34">
        <v>4</v>
      </c>
      <c r="L104" s="35">
        <v>0</v>
      </c>
      <c r="M104" s="62">
        <f t="shared" si="95"/>
        <v>0</v>
      </c>
    </row>
    <row r="105" spans="1:13" x14ac:dyDescent="0.2">
      <c r="A105" s="58">
        <v>10854861</v>
      </c>
      <c r="B105" s="32" t="s">
        <v>303</v>
      </c>
      <c r="C105" s="33" t="s">
        <v>174</v>
      </c>
      <c r="D105" s="33" t="s">
        <v>304</v>
      </c>
      <c r="E105" s="33" t="str">
        <f t="shared" si="6"/>
        <v>TOURNEY EZ1 pt. bottle Bundle 5Period 1</v>
      </c>
      <c r="F105" s="33" t="str">
        <f t="shared" si="7"/>
        <v>TOURNEY EZ1 pt. bottle Bundle 5Period 2</v>
      </c>
      <c r="G105" s="34"/>
      <c r="H105" s="35">
        <v>0</v>
      </c>
      <c r="I105" s="78">
        <v>17.5</v>
      </c>
      <c r="J105" s="36">
        <f t="shared" si="94"/>
        <v>0</v>
      </c>
      <c r="K105" s="34">
        <v>17.5</v>
      </c>
      <c r="L105" s="35">
        <v>0</v>
      </c>
      <c r="M105" s="62">
        <f t="shared" si="95"/>
        <v>0</v>
      </c>
    </row>
    <row r="106" spans="1:13" x14ac:dyDescent="0.2">
      <c r="A106" s="58">
        <v>10854041</v>
      </c>
      <c r="B106" s="32" t="s">
        <v>242</v>
      </c>
      <c r="C106" s="33" t="s">
        <v>174</v>
      </c>
      <c r="D106" s="33" t="s">
        <v>111</v>
      </c>
      <c r="E106" s="33" t="str">
        <f t="shared" ref="E106:E107" si="119">CONCATENATE(C106,D106,$A$1)</f>
        <v>TOURNEY EZ1 gal. bottlePeriod 1</v>
      </c>
      <c r="F106" s="33" t="str">
        <f t="shared" ref="F106:F107" si="120">CONCATENATE(C106,D106,$A$2)</f>
        <v>TOURNEY EZ1 gal. bottlePeriod 2</v>
      </c>
      <c r="G106" s="34">
        <v>75</v>
      </c>
      <c r="H106" s="34"/>
      <c r="I106" s="35">
        <v>0</v>
      </c>
      <c r="J106" s="36">
        <f t="shared" ref="J106:J107" si="121">G106*I106</f>
        <v>0</v>
      </c>
      <c r="K106" s="34">
        <v>30</v>
      </c>
      <c r="L106" s="35">
        <v>0</v>
      </c>
      <c r="M106" s="62">
        <f t="shared" ref="M106:M107" si="122">K106*L106</f>
        <v>0</v>
      </c>
    </row>
    <row r="107" spans="1:13" x14ac:dyDescent="0.2">
      <c r="A107" s="58">
        <v>10854041</v>
      </c>
      <c r="B107" s="32" t="s">
        <v>242</v>
      </c>
      <c r="C107" s="33" t="s">
        <v>174</v>
      </c>
      <c r="D107" s="33" t="s">
        <v>212</v>
      </c>
      <c r="E107" s="33" t="str">
        <f t="shared" si="119"/>
        <v>TOURNEY EZ1 gal. bottle Volume 4+Period 1</v>
      </c>
      <c r="F107" s="33" t="str">
        <f t="shared" si="120"/>
        <v>TOURNEY EZ1 gal. bottle Volume 4+Period 2</v>
      </c>
      <c r="G107" s="34"/>
      <c r="H107" s="34">
        <v>110</v>
      </c>
      <c r="I107" s="35">
        <v>0</v>
      </c>
      <c r="J107" s="36">
        <f t="shared" si="121"/>
        <v>0</v>
      </c>
      <c r="K107" s="34">
        <v>30</v>
      </c>
      <c r="L107" s="35">
        <v>0</v>
      </c>
      <c r="M107" s="62">
        <f t="shared" si="122"/>
        <v>0</v>
      </c>
    </row>
    <row r="108" spans="1:13" x14ac:dyDescent="0.2">
      <c r="A108" s="58">
        <v>10854041</v>
      </c>
      <c r="B108" s="32" t="s">
        <v>242</v>
      </c>
      <c r="C108" s="33" t="s">
        <v>174</v>
      </c>
      <c r="D108" s="33" t="s">
        <v>305</v>
      </c>
      <c r="E108" s="33" t="str">
        <f t="shared" ref="E108" si="123">CONCATENATE(C108,D108,$A$1)</f>
        <v>TOURNEY EZ1 gal. bottle Bundle 1Period 1</v>
      </c>
      <c r="F108" s="33" t="str">
        <f t="shared" ref="F108" si="124">CONCATENATE(C108,D108,$A$2)</f>
        <v>TOURNEY EZ1 gal. bottle Bundle 1Period 2</v>
      </c>
      <c r="G108" s="34"/>
      <c r="H108" s="35">
        <v>0</v>
      </c>
      <c r="I108" s="78">
        <v>140</v>
      </c>
      <c r="J108" s="36">
        <f t="shared" ref="J108" si="125">G108*I108</f>
        <v>0</v>
      </c>
      <c r="K108" s="34">
        <v>140</v>
      </c>
      <c r="L108" s="35">
        <v>0</v>
      </c>
      <c r="M108" s="62">
        <f t="shared" ref="M108" si="126">K108*L108</f>
        <v>0</v>
      </c>
    </row>
    <row r="109" spans="1:13" x14ac:dyDescent="0.2">
      <c r="A109" s="58">
        <v>10854041</v>
      </c>
      <c r="B109" s="32" t="s">
        <v>242</v>
      </c>
      <c r="C109" s="33" t="s">
        <v>174</v>
      </c>
      <c r="D109" s="33" t="s">
        <v>271</v>
      </c>
      <c r="E109" s="33" t="str">
        <f t="shared" ref="E109" si="127">CONCATENATE(C109,D109,$A$1)</f>
        <v>TOURNEY EZ1 gal. bottle Bundle EZ Nursery Weed &amp; Disease SolutionPeriod 1</v>
      </c>
      <c r="F109" s="33" t="str">
        <f t="shared" ref="F109" si="128">CONCATENATE(C109,D109,$A$2)</f>
        <v>TOURNEY EZ1 gal. bottle Bundle EZ Nursery Weed &amp; Disease SolutionPeriod 2</v>
      </c>
      <c r="G109" s="34"/>
      <c r="H109" s="35">
        <v>0</v>
      </c>
      <c r="I109" s="78">
        <v>110</v>
      </c>
      <c r="J109" s="36">
        <f t="shared" ref="J109" si="129">G109*I109</f>
        <v>0</v>
      </c>
      <c r="K109" s="34">
        <v>110</v>
      </c>
      <c r="L109" s="35">
        <v>0</v>
      </c>
      <c r="M109" s="62">
        <f t="shared" ref="M109" si="130">K109*L109</f>
        <v>0</v>
      </c>
    </row>
    <row r="110" spans="1:13" x14ac:dyDescent="0.2">
      <c r="A110" s="59">
        <v>10723225</v>
      </c>
      <c r="B110" s="32" t="s">
        <v>243</v>
      </c>
      <c r="C110" s="33" t="s">
        <v>171</v>
      </c>
      <c r="D110" s="33" t="s">
        <v>96</v>
      </c>
      <c r="E110" s="33" t="str">
        <f t="shared" ref="E110" si="131">CONCATENATE(C110,D110,$A$1)</f>
        <v>TRACTION2.5 gal. bottlePeriod 1</v>
      </c>
      <c r="F110" s="33" t="str">
        <f t="shared" ref="F110" si="132">CONCATENATE(C110,D110,$A$2)</f>
        <v>TRACTION2.5 gal. bottlePeriod 2</v>
      </c>
      <c r="G110" s="34">
        <v>20</v>
      </c>
      <c r="H110" s="34"/>
      <c r="I110" s="35"/>
      <c r="J110" s="36"/>
      <c r="K110" s="34">
        <v>17</v>
      </c>
      <c r="L110" s="35"/>
      <c r="M110" s="62"/>
    </row>
    <row r="111" spans="1:13" x14ac:dyDescent="0.2">
      <c r="A111" s="59">
        <v>10723225</v>
      </c>
      <c r="B111" s="32" t="s">
        <v>243</v>
      </c>
      <c r="C111" s="33" t="s">
        <v>171</v>
      </c>
      <c r="D111" s="33" t="s">
        <v>198</v>
      </c>
      <c r="E111" s="33" t="str">
        <f t="shared" si="6"/>
        <v>TRACTION2.5 gal. bottle Volume 6+Period 1</v>
      </c>
      <c r="F111" s="33" t="str">
        <f t="shared" si="7"/>
        <v>TRACTION2.5 gal. bottle Volume 6+Period 2</v>
      </c>
      <c r="G111" s="34"/>
      <c r="H111" s="34">
        <v>55</v>
      </c>
      <c r="I111" s="35">
        <v>0</v>
      </c>
      <c r="J111" s="36">
        <f t="shared" si="94"/>
        <v>0</v>
      </c>
      <c r="K111" s="34">
        <v>17</v>
      </c>
      <c r="L111" s="35">
        <v>0</v>
      </c>
      <c r="M111" s="62">
        <f t="shared" si="95"/>
        <v>0</v>
      </c>
    </row>
    <row r="112" spans="1:13" x14ac:dyDescent="0.2">
      <c r="A112" s="59">
        <v>10723225</v>
      </c>
      <c r="B112" s="32" t="s">
        <v>243</v>
      </c>
      <c r="C112" s="33" t="s">
        <v>171</v>
      </c>
      <c r="D112" s="33" t="s">
        <v>306</v>
      </c>
      <c r="E112" s="33" t="str">
        <f t="shared" ref="E112" si="133">CONCATENATE(C112,D112,$A$1)</f>
        <v>TRACTION2.5 gal. bottle Bundle 2Period 1</v>
      </c>
      <c r="F112" s="33" t="str">
        <f t="shared" ref="F112" si="134">CONCATENATE(C112,D112,$A$2)</f>
        <v>TRACTION2.5 gal. bottle Bundle 2Period 2</v>
      </c>
      <c r="G112" s="34"/>
      <c r="H112" s="37"/>
      <c r="I112" s="78">
        <v>75</v>
      </c>
      <c r="J112" s="36">
        <f t="shared" ref="J112" si="135">G112*I112</f>
        <v>0</v>
      </c>
      <c r="K112" s="34">
        <v>75</v>
      </c>
      <c r="L112" s="35">
        <v>0</v>
      </c>
      <c r="M112" s="62">
        <f t="shared" ref="M112" si="136">K112*L112</f>
        <v>0</v>
      </c>
    </row>
    <row r="113" spans="1:13" x14ac:dyDescent="0.2">
      <c r="A113" s="59">
        <v>10723225</v>
      </c>
      <c r="B113" s="32" t="s">
        <v>243</v>
      </c>
      <c r="C113" s="33" t="s">
        <v>171</v>
      </c>
      <c r="D113" s="33" t="s">
        <v>260</v>
      </c>
      <c r="E113" s="33" t="str">
        <f t="shared" ref="E113" si="137">CONCATENATE(C113,D113,$A$1)</f>
        <v>TRACTION2.5 gal. bottle Bundle 4Period 1</v>
      </c>
      <c r="F113" s="33" t="str">
        <f t="shared" ref="F113" si="138">CONCATENATE(C113,D113,$A$2)</f>
        <v>TRACTION2.5 gal. bottle Bundle 4Period 2</v>
      </c>
      <c r="G113" s="34"/>
      <c r="H113" s="37"/>
      <c r="I113" s="78">
        <v>75</v>
      </c>
      <c r="J113" s="36">
        <f t="shared" ref="J113" si="139">G113*I113</f>
        <v>0</v>
      </c>
      <c r="K113" s="34">
        <v>75</v>
      </c>
      <c r="L113" s="35">
        <v>0</v>
      </c>
      <c r="M113" s="62">
        <f t="shared" ref="M113" si="140">K113*L113</f>
        <v>0</v>
      </c>
    </row>
    <row r="114" spans="1:13" s="2" customFormat="1" x14ac:dyDescent="0.2">
      <c r="A114" s="59"/>
      <c r="B114" s="1" t="s">
        <v>52</v>
      </c>
      <c r="C114" s="18" t="s">
        <v>52</v>
      </c>
      <c r="D114" s="19"/>
      <c r="E114" s="19" t="str">
        <f t="shared" si="6"/>
        <v>Plant Growth RegulatorsPeriod 1</v>
      </c>
      <c r="F114" s="19" t="str">
        <f t="shared" si="7"/>
        <v>Plant Growth RegulatorsPeriod 2</v>
      </c>
      <c r="G114" s="24"/>
      <c r="H114" s="10"/>
      <c r="I114" s="7"/>
      <c r="J114" s="4"/>
      <c r="K114" s="24"/>
      <c r="L114" s="7"/>
      <c r="M114" s="63"/>
    </row>
    <row r="115" spans="1:13" x14ac:dyDescent="0.2">
      <c r="A115" s="59">
        <v>10571443</v>
      </c>
      <c r="B115" s="32" t="s">
        <v>244</v>
      </c>
      <c r="C115" s="33" t="s">
        <v>184</v>
      </c>
      <c r="D115" s="33" t="s">
        <v>185</v>
      </c>
      <c r="E115" s="33" t="str">
        <f t="shared" si="6"/>
        <v>ANUEW1.5 lb. packPeriod 1</v>
      </c>
      <c r="F115" s="33" t="str">
        <f t="shared" si="7"/>
        <v>ANUEW1.5 lb. packPeriod 2</v>
      </c>
      <c r="G115" s="34">
        <v>8</v>
      </c>
      <c r="H115" s="34"/>
      <c r="I115" s="35"/>
      <c r="J115" s="36">
        <f>G115*I115</f>
        <v>0</v>
      </c>
      <c r="K115" s="34">
        <v>4</v>
      </c>
      <c r="L115" s="35">
        <v>0</v>
      </c>
      <c r="M115" s="62">
        <f t="shared" ref="M115:M125" si="141">K115*L115</f>
        <v>0</v>
      </c>
    </row>
    <row r="116" spans="1:13" x14ac:dyDescent="0.2">
      <c r="A116" s="59">
        <v>10571443</v>
      </c>
      <c r="B116" s="32" t="s">
        <v>244</v>
      </c>
      <c r="C116" s="33" t="s">
        <v>184</v>
      </c>
      <c r="D116" s="33" t="s">
        <v>246</v>
      </c>
      <c r="E116" s="33" t="str">
        <f t="shared" ref="E116:E118" si="142">CONCATENATE(C116,D116,$A$1)</f>
        <v>ANUEW1.5 lb. pack Volume 32+Period 1</v>
      </c>
      <c r="F116" s="33" t="str">
        <f t="shared" ref="F116:F118" si="143">CONCATENATE(C116,D116,$A$2)</f>
        <v>ANUEW1.5 lb. pack Volume 32+Period 2</v>
      </c>
      <c r="G116" s="34"/>
      <c r="H116" s="34">
        <v>18</v>
      </c>
      <c r="I116" s="35"/>
      <c r="J116" s="36"/>
      <c r="K116" s="34">
        <v>4</v>
      </c>
      <c r="L116" s="35">
        <v>0</v>
      </c>
      <c r="M116" s="62">
        <f t="shared" si="141"/>
        <v>0</v>
      </c>
    </row>
    <row r="117" spans="1:13" x14ac:dyDescent="0.2">
      <c r="A117" s="59">
        <v>10571443</v>
      </c>
      <c r="B117" s="32" t="s">
        <v>244</v>
      </c>
      <c r="C117" s="33" t="s">
        <v>184</v>
      </c>
      <c r="D117" s="33" t="s">
        <v>307</v>
      </c>
      <c r="E117" s="33" t="str">
        <f t="shared" ref="E117" si="144">CONCATENATE(C117,D117,$A$1)</f>
        <v>ANUEW1.5 lb. pack Bundles 1 - 3Period 1</v>
      </c>
      <c r="F117" s="33" t="str">
        <f t="shared" ref="F117" si="145">CONCATENATE(C117,D117,$A$2)</f>
        <v>ANUEW1.5 lb. pack Bundles 1 - 3Period 2</v>
      </c>
      <c r="G117" s="34"/>
      <c r="H117" s="34"/>
      <c r="I117" s="78">
        <v>25</v>
      </c>
      <c r="J117" s="36"/>
      <c r="K117" s="34">
        <v>25</v>
      </c>
      <c r="L117" s="35">
        <v>0</v>
      </c>
      <c r="M117" s="62">
        <f t="shared" ref="M117" si="146">K117*L117</f>
        <v>0</v>
      </c>
    </row>
    <row r="118" spans="1:13" x14ac:dyDescent="0.2">
      <c r="A118" s="59">
        <v>10850464</v>
      </c>
      <c r="B118" s="32" t="s">
        <v>186</v>
      </c>
      <c r="C118" s="33" t="s">
        <v>173</v>
      </c>
      <c r="D118" s="33" t="s">
        <v>106</v>
      </c>
      <c r="E118" s="33" t="str">
        <f t="shared" si="142"/>
        <v>ANUEW EZ64 fl oz. bottlePeriod 1</v>
      </c>
      <c r="F118" s="33" t="str">
        <f t="shared" si="143"/>
        <v>ANUEW EZ64 fl oz. bottlePeriod 2</v>
      </c>
      <c r="G118" s="34">
        <v>10</v>
      </c>
      <c r="H118" s="34"/>
      <c r="I118" s="78"/>
      <c r="J118" s="36">
        <f>G118*I118</f>
        <v>0</v>
      </c>
      <c r="K118" s="34">
        <v>5</v>
      </c>
      <c r="L118" s="35">
        <v>0</v>
      </c>
      <c r="M118" s="62">
        <f t="shared" ref="M118" si="147">K118*L118</f>
        <v>0</v>
      </c>
    </row>
    <row r="119" spans="1:13" x14ac:dyDescent="0.2">
      <c r="A119" s="59">
        <v>10850464</v>
      </c>
      <c r="B119" s="32" t="s">
        <v>186</v>
      </c>
      <c r="C119" s="33" t="s">
        <v>173</v>
      </c>
      <c r="D119" s="33" t="s">
        <v>308</v>
      </c>
      <c r="E119" s="33" t="str">
        <f t="shared" ref="E119" si="148">CONCATENATE(C119,D119,$A$1)</f>
        <v>ANUEW EZ64 fl oz. bottle Bundle 5Period 1</v>
      </c>
      <c r="F119" s="33" t="str">
        <f t="shared" ref="F119" si="149">CONCATENATE(C119,D119,$A$2)</f>
        <v>ANUEW EZ64 fl oz. bottle Bundle 5Period 2</v>
      </c>
      <c r="G119" s="34"/>
      <c r="H119" s="34"/>
      <c r="I119" s="78">
        <v>30</v>
      </c>
      <c r="J119" s="36">
        <f>G119*I119</f>
        <v>0</v>
      </c>
      <c r="K119" s="34">
        <v>30</v>
      </c>
      <c r="L119" s="35">
        <v>0</v>
      </c>
      <c r="M119" s="62">
        <f t="shared" ref="M119" si="150">K119*L119</f>
        <v>0</v>
      </c>
    </row>
    <row r="120" spans="1:13" x14ac:dyDescent="0.2">
      <c r="A120" s="59">
        <v>10849225</v>
      </c>
      <c r="B120" s="32" t="s">
        <v>247</v>
      </c>
      <c r="C120" s="33" t="s">
        <v>173</v>
      </c>
      <c r="D120" s="33" t="s">
        <v>96</v>
      </c>
      <c r="E120" s="33" t="str">
        <f t="shared" ref="E120:E121" si="151">CONCATENATE(C120,D120,$A$1)</f>
        <v>ANUEW EZ2.5 gal. bottlePeriod 1</v>
      </c>
      <c r="F120" s="33" t="str">
        <f t="shared" ref="F120:F121" si="152">CONCATENATE(C120,D120,$A$2)</f>
        <v>ANUEW EZ2.5 gal. bottlePeriod 2</v>
      </c>
      <c r="G120" s="34">
        <v>48</v>
      </c>
      <c r="H120" s="34"/>
      <c r="I120" s="35"/>
      <c r="J120" s="36">
        <f>G120*I120</f>
        <v>0</v>
      </c>
      <c r="K120" s="34">
        <v>24</v>
      </c>
      <c r="L120" s="35">
        <v>0</v>
      </c>
      <c r="M120" s="62">
        <f t="shared" si="141"/>
        <v>0</v>
      </c>
    </row>
    <row r="121" spans="1:13" x14ac:dyDescent="0.2">
      <c r="A121" s="59">
        <v>10849225</v>
      </c>
      <c r="B121" s="32" t="s">
        <v>247</v>
      </c>
      <c r="C121" s="33" t="s">
        <v>173</v>
      </c>
      <c r="D121" s="33" t="s">
        <v>198</v>
      </c>
      <c r="E121" s="33" t="str">
        <f t="shared" si="151"/>
        <v>ANUEW EZ2.5 gal. bottle Volume 6+Period 1</v>
      </c>
      <c r="F121" s="33" t="str">
        <f t="shared" si="152"/>
        <v>ANUEW EZ2.5 gal. bottle Volume 6+Period 2</v>
      </c>
      <c r="G121" s="34"/>
      <c r="H121" s="34">
        <v>125</v>
      </c>
      <c r="I121" s="35"/>
      <c r="J121" s="36"/>
      <c r="K121" s="34">
        <v>24</v>
      </c>
      <c r="L121" s="35">
        <v>0</v>
      </c>
      <c r="M121" s="62">
        <f t="shared" si="141"/>
        <v>0</v>
      </c>
    </row>
    <row r="122" spans="1:13" x14ac:dyDescent="0.2">
      <c r="A122" s="59">
        <v>10849225</v>
      </c>
      <c r="B122" s="32" t="s">
        <v>247</v>
      </c>
      <c r="C122" s="33" t="s">
        <v>173</v>
      </c>
      <c r="D122" s="33" t="s">
        <v>309</v>
      </c>
      <c r="E122" s="33" t="str">
        <f t="shared" ref="E122" si="153">CONCATENATE(C122,D122,$A$1)</f>
        <v>ANUEW EZ2.5 gal. bottle Bundles 1 - 3Period 1</v>
      </c>
      <c r="F122" s="33" t="str">
        <f t="shared" ref="F122" si="154">CONCATENATE(C122,D122,$A$2)</f>
        <v>ANUEW EZ2.5 gal. bottle Bundles 1 - 3Period 2</v>
      </c>
      <c r="G122" s="34"/>
      <c r="H122" s="34"/>
      <c r="I122" s="78">
        <v>150</v>
      </c>
      <c r="J122" s="36"/>
      <c r="K122" s="34">
        <v>150</v>
      </c>
      <c r="L122" s="35">
        <v>0</v>
      </c>
      <c r="M122" s="62">
        <f t="shared" ref="M122" si="155">K122*L122</f>
        <v>0</v>
      </c>
    </row>
    <row r="123" spans="1:13" x14ac:dyDescent="0.2">
      <c r="A123" s="59">
        <v>10590414</v>
      </c>
      <c r="B123" s="3" t="s">
        <v>53</v>
      </c>
      <c r="C123" s="19" t="s">
        <v>80</v>
      </c>
      <c r="D123" s="19" t="s">
        <v>116</v>
      </c>
      <c r="E123" s="19" t="str">
        <f t="shared" si="6"/>
        <v>FASCINATION0.5 gal. bottlePeriod 1</v>
      </c>
      <c r="F123" s="19" t="str">
        <f t="shared" si="7"/>
        <v>FASCINATION0.5 gal. bottlePeriod 2</v>
      </c>
      <c r="G123" s="23">
        <v>12</v>
      </c>
      <c r="H123" s="8">
        <v>0</v>
      </c>
      <c r="I123" s="8">
        <v>0</v>
      </c>
      <c r="J123" s="4">
        <f>G123*I123</f>
        <v>0</v>
      </c>
      <c r="K123" s="23">
        <v>4</v>
      </c>
      <c r="L123" s="8">
        <v>0</v>
      </c>
      <c r="M123" s="63">
        <f t="shared" si="141"/>
        <v>0</v>
      </c>
    </row>
    <row r="124" spans="1:13" x14ac:dyDescent="0.2">
      <c r="A124" s="59">
        <v>10596041</v>
      </c>
      <c r="B124" s="3" t="s">
        <v>54</v>
      </c>
      <c r="C124" s="19" t="s">
        <v>84</v>
      </c>
      <c r="D124" s="19" t="s">
        <v>111</v>
      </c>
      <c r="E124" s="19" t="str">
        <f t="shared" si="6"/>
        <v>SUMAGIC1 gal. bottlePeriod 1</v>
      </c>
      <c r="F124" s="19" t="str">
        <f t="shared" si="7"/>
        <v>SUMAGIC1 gal. bottlePeriod 2</v>
      </c>
      <c r="G124" s="23">
        <v>10</v>
      </c>
      <c r="H124" s="8">
        <v>0</v>
      </c>
      <c r="I124" s="8">
        <v>0</v>
      </c>
      <c r="J124" s="4">
        <f>G124*I124</f>
        <v>0</v>
      </c>
      <c r="K124" s="23">
        <v>5</v>
      </c>
      <c r="L124" s="8">
        <v>0</v>
      </c>
      <c r="M124" s="63">
        <f t="shared" si="141"/>
        <v>0</v>
      </c>
    </row>
    <row r="125" spans="1:13" x14ac:dyDescent="0.2">
      <c r="A125" s="70">
        <v>10596515</v>
      </c>
      <c r="B125" s="71" t="s">
        <v>55</v>
      </c>
      <c r="C125" s="72" t="s">
        <v>84</v>
      </c>
      <c r="D125" s="72" t="s">
        <v>117</v>
      </c>
      <c r="E125" s="72" t="str">
        <f t="shared" si="6"/>
        <v>SUMAGIC15 gal. drumPeriod 1</v>
      </c>
      <c r="F125" s="72" t="str">
        <f t="shared" si="7"/>
        <v>SUMAGIC15 gal. drumPeriod 2</v>
      </c>
      <c r="G125" s="73">
        <v>150</v>
      </c>
      <c r="H125" s="74">
        <v>0</v>
      </c>
      <c r="I125" s="74">
        <v>0</v>
      </c>
      <c r="J125" s="75">
        <f>G125*I125</f>
        <v>0</v>
      </c>
      <c r="K125" s="73">
        <v>75</v>
      </c>
      <c r="L125" s="74">
        <v>0</v>
      </c>
      <c r="M125" s="76">
        <f t="shared" si="141"/>
        <v>0</v>
      </c>
    </row>
    <row r="126" spans="1:13" x14ac:dyDescent="0.2">
      <c r="J126" s="6"/>
    </row>
    <row r="127" spans="1:13" ht="18" x14ac:dyDescent="0.25">
      <c r="I127" s="279"/>
      <c r="J127" s="279"/>
      <c r="K127" s="280"/>
      <c r="L127" s="280"/>
    </row>
    <row r="128" spans="1:13" x14ac:dyDescent="0.2">
      <c r="I128" s="28"/>
      <c r="J128" s="29"/>
      <c r="K128" s="30"/>
      <c r="L128" s="26"/>
    </row>
    <row r="130" spans="1:10" x14ac:dyDescent="0.2">
      <c r="A130" s="13"/>
      <c r="B130" s="13"/>
      <c r="C130" s="20"/>
      <c r="D130" s="20"/>
      <c r="E130" s="20"/>
      <c r="F130" s="20"/>
      <c r="I130" s="11"/>
      <c r="J130" s="11"/>
    </row>
    <row r="131" spans="1:10" x14ac:dyDescent="0.2">
      <c r="A131" s="12"/>
      <c r="B131" s="12"/>
      <c r="C131" s="21"/>
      <c r="D131" s="21"/>
      <c r="E131" s="21"/>
      <c r="F131" s="21"/>
    </row>
  </sheetData>
  <mergeCells count="2">
    <mergeCell ref="I127:J127"/>
    <mergeCell ref="K127:L127"/>
  </mergeCells>
  <phoneticPr fontId="7" type="noConversion"/>
  <pageMargins left="0.25" right="0.25"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56B16C1A50E74F83AB1A44480E6557" ma:contentTypeVersion="10" ma:contentTypeDescription="Create a new document." ma:contentTypeScope="" ma:versionID="152a897392477f249a8cf6ebc4aeeb26">
  <xsd:schema xmlns:xsd="http://www.w3.org/2001/XMLSchema" xmlns:xs="http://www.w3.org/2001/XMLSchema" xmlns:p="http://schemas.microsoft.com/office/2006/metadata/properties" xmlns:ns2="f60705fc-725d-44ea-9e1c-003cde6a78fb" xmlns:ns3="3f95aea1-b90a-4932-a509-b7a2e2687b8c" targetNamespace="http://schemas.microsoft.com/office/2006/metadata/properties" ma:root="true" ma:fieldsID="c4c42aa97a0f00ccb81ee9c4ea61279d" ns2:_="" ns3:_="">
    <xsd:import namespace="f60705fc-725d-44ea-9e1c-003cde6a78fb"/>
    <xsd:import namespace="3f95aea1-b90a-4932-a509-b7a2e2687b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705fc-725d-44ea-9e1c-003cde6a78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f95aea1-b90a-4932-a509-b7a2e2687b8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3AA687-37B1-4E91-A36E-65BAB66AB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705fc-725d-44ea-9e1c-003cde6a78fb"/>
    <ds:schemaRef ds:uri="3f95aea1-b90a-4932-a509-b7a2e2687b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2DCD16-90C6-40FC-8BC3-42CC3DF47E19}">
  <ds:schemaRefs>
    <ds:schemaRef ds:uri="http://schemas.microsoft.com/sharepoint/v3/contenttype/forms"/>
  </ds:schemaRefs>
</ds:datastoreItem>
</file>

<file path=customXml/itemProps3.xml><?xml version="1.0" encoding="utf-8"?>
<ds:datastoreItem xmlns:ds="http://schemas.openxmlformats.org/officeDocument/2006/customXml" ds:itemID="{81DBDC42-D7E3-4D70-91F3-1AB08709DE33}">
  <ds:schemaRefs>
    <ds:schemaRef ds:uri="http://purl.org/dc/elements/1.1/"/>
    <ds:schemaRef ds:uri="http://schemas.microsoft.com/office/2006/metadata/properties"/>
    <ds:schemaRef ds:uri="http://purl.org/dc/terms/"/>
    <ds:schemaRef ds:uri="3f95aea1-b90a-4932-a509-b7a2e2687b8c"/>
    <ds:schemaRef ds:uri="http://schemas.microsoft.com/office/infopath/2007/PartnerControls"/>
    <ds:schemaRef ds:uri="http://schemas.microsoft.com/office/2006/documentManagement/types"/>
    <ds:schemaRef ds:uri="http://schemas.openxmlformats.org/package/2006/metadata/core-properties"/>
    <ds:schemaRef ds:uri="f60705fc-725d-44ea-9e1c-003cde6a78f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Nufarm Edge Rewards Calculator</vt:lpstr>
      <vt:lpstr>Rebate Reference Table</vt:lpstr>
      <vt:lpstr>'Nufarm Edge Rewards 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Biegacki</dc:creator>
  <cp:keywords/>
  <dc:description/>
  <cp:lastModifiedBy>David Wells</cp:lastModifiedBy>
  <cp:revision/>
  <cp:lastPrinted>2025-08-05T14:36:02Z</cp:lastPrinted>
  <dcterms:created xsi:type="dcterms:W3CDTF">2019-08-21T15:42:09Z</dcterms:created>
  <dcterms:modified xsi:type="dcterms:W3CDTF">2025-08-12T17:10:20Z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0x0101007356B16C1A50E74F83AB1A44480E6557</vt:lpwstr>
  </property>
</Properties>
</file>